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6085" windowHeight="10320" tabRatio="859" firstSheet="11" activeTab="20"/>
  </bookViews>
  <sheets>
    <sheet name="Sintesi Finanziati" sheetId="28" r:id="rId1"/>
    <sheet name="Tecnologie 1" sheetId="15" r:id="rId2"/>
    <sheet name="Tecnologie 2 " sheetId="16" r:id="rId3"/>
    <sheet name="P.S. Territoriale Rim." sheetId="21" r:id="rId4"/>
    <sheet name="S.I.T. " sheetId="11" r:id="rId5"/>
    <sheet name="Adp Matera" sheetId="19" r:id="rId6"/>
    <sheet name="Adp Policoro" sheetId="13" r:id="rId7"/>
    <sheet name="Adeguamento tecnologico" sheetId="18" r:id="rId8"/>
    <sheet name="Struttura penitenziaria" sheetId="23" r:id="rId9"/>
    <sheet name="ADI" sheetId="24" r:id="rId10"/>
    <sheet name="PUA-ADI" sheetId="25" r:id="rId11"/>
    <sheet name="HOSPICE" sheetId="26" r:id="rId12"/>
    <sheet name="CENTRI SALUTE" sheetId="33" r:id="rId13"/>
    <sheet name="Potenziamento rete (terapia int" sheetId="34" r:id="rId14"/>
    <sheet name="Potenziamento rete (semi-int)" sheetId="35" r:id="rId15"/>
    <sheet name="Potenziamento rete (P.S)" sheetId="36" r:id="rId16"/>
    <sheet name="Potenziamento rete (ambulanza)" sheetId="37" r:id="rId17"/>
    <sheet name="PNRR - Tecnologie" sheetId="40" r:id="rId18"/>
    <sheet name="PNRR - ICT" sheetId="41" r:id="rId19"/>
    <sheet name="POV Stigliano" sheetId="42" r:id="rId20"/>
    <sheet name="PSC " sheetId="46" r:id="rId21"/>
  </sheets>
  <definedNames>
    <definedName name="_xlnm._FilterDatabase" localSheetId="7" hidden="1">'Adeguamento tecnologico'!$A$1:$AI$12</definedName>
    <definedName name="_xlnm._FilterDatabase" localSheetId="9" hidden="1">ADI!$A$1:$AI$14</definedName>
    <definedName name="_xlnm._FilterDatabase" localSheetId="5" hidden="1">'Adp Matera'!$A$1:$AI$62</definedName>
    <definedName name="_xlnm._FilterDatabase" localSheetId="6" hidden="1">'Adp Policoro'!$A$1:$AI$35</definedName>
    <definedName name="_xlnm._FilterDatabase" localSheetId="12" hidden="1">'CENTRI SALUTE'!$A$1:$AI$19</definedName>
    <definedName name="_xlnm._FilterDatabase" localSheetId="11" hidden="1">HOSPICE!$A$1:$AI$21</definedName>
    <definedName name="_xlnm._FilterDatabase" localSheetId="3" hidden="1">'P.S. Territoriale Rim.'!$A$1:$AI$88</definedName>
    <definedName name="_xlnm._FilterDatabase" localSheetId="18" hidden="1">'PNRR - ICT'!$A$2:$I$11</definedName>
    <definedName name="_xlnm._FilterDatabase" localSheetId="17" hidden="1">'PNRR - Tecnologie'!$A$1:$AI$1</definedName>
    <definedName name="_xlnm._FilterDatabase" localSheetId="16" hidden="1">'Potenziamento rete (ambulanza)'!$A$1:$AI$2</definedName>
    <definedName name="_xlnm._FilterDatabase" localSheetId="15" hidden="1">'Potenziamento rete (P.S)'!$A$1:$AI$1</definedName>
    <definedName name="_xlnm._FilterDatabase" localSheetId="14" hidden="1">'Potenziamento rete (semi-int)'!$A$1:$AI$24</definedName>
    <definedName name="_xlnm._FilterDatabase" localSheetId="13" hidden="1">'Potenziamento rete (terapia int'!$A$1:$AI$33</definedName>
    <definedName name="_xlnm._FilterDatabase" localSheetId="19" hidden="1">'POV Stigliano'!$A$2:$I$13</definedName>
    <definedName name="_xlnm._FilterDatabase" localSheetId="20" hidden="1">'PSC '!$A$1:$AI$24</definedName>
    <definedName name="_xlnm._FilterDatabase" localSheetId="10" hidden="1">'PUA-ADI'!$A$1:$AI$24</definedName>
    <definedName name="_xlnm._FilterDatabase" localSheetId="4" hidden="1">'S.I.T. '!$A$1:$AI$10</definedName>
    <definedName name="_xlnm._FilterDatabase" localSheetId="8" hidden="1">'Struttura penitenziaria'!$A$1:$T$4</definedName>
    <definedName name="_xlnm._FilterDatabase" localSheetId="1" hidden="1">'Tecnologie 1'!$A$1:$IV$24</definedName>
    <definedName name="_xlnm._FilterDatabase" localSheetId="2" hidden="1">'Tecnologie 2 '!$A$1:$AI$73</definedName>
  </definedNames>
  <calcPr calcId="145621"/>
</workbook>
</file>

<file path=xl/calcChain.xml><?xml version="1.0" encoding="utf-8"?>
<calcChain xmlns="http://schemas.openxmlformats.org/spreadsheetml/2006/main">
  <c r="B28" i="28" l="1"/>
  <c r="C28" i="28"/>
  <c r="P12" i="40" l="1"/>
  <c r="Q12" i="40" s="1"/>
  <c r="S12" i="40" s="1"/>
  <c r="Q9" i="35" l="1"/>
  <c r="P18" i="35" l="1"/>
  <c r="Q18" i="35" s="1"/>
  <c r="P30" i="34"/>
  <c r="Q30" i="34" s="1"/>
  <c r="P15" i="40" l="1"/>
  <c r="Q15" i="40"/>
  <c r="P11" i="40"/>
  <c r="Q11" i="40" s="1"/>
  <c r="P6" i="36" l="1"/>
  <c r="Q6" i="36" s="1"/>
  <c r="Q11" i="36"/>
  <c r="O11" i="36"/>
  <c r="K4" i="46" l="1"/>
  <c r="P9" i="35" l="1"/>
  <c r="O9" i="35" s="1"/>
  <c r="L25" i="28" l="1"/>
  <c r="L26" i="28"/>
  <c r="M10" i="42" l="1"/>
  <c r="I10" i="42"/>
  <c r="O5" i="36"/>
  <c r="Q5" i="36" l="1"/>
  <c r="O14" i="36"/>
  <c r="Q14" i="36"/>
  <c r="O13" i="36"/>
  <c r="P12" i="36"/>
  <c r="Q12" i="36" s="1"/>
  <c r="P15" i="36"/>
  <c r="Q15" i="36" s="1"/>
  <c r="O10" i="36" l="1"/>
  <c r="Q10" i="36"/>
  <c r="P8" i="36"/>
  <c r="Q8" i="36" s="1"/>
  <c r="P7" i="36"/>
  <c r="Q7" i="36" s="1"/>
  <c r="Q4" i="35"/>
  <c r="O4" i="35"/>
  <c r="Q14" i="40" l="1"/>
  <c r="P14" i="40"/>
  <c r="Q13" i="40"/>
  <c r="P13" i="40"/>
  <c r="T14" i="40" l="1"/>
  <c r="H14" i="40"/>
  <c r="I14" i="40" s="1"/>
  <c r="S14" i="40" s="1"/>
  <c r="T13" i="40"/>
  <c r="H13" i="40"/>
  <c r="I13" i="40" s="1"/>
  <c r="S13" i="40" s="1"/>
  <c r="L6" i="36" l="1"/>
  <c r="M6" i="36" s="1"/>
  <c r="M5" i="36" l="1"/>
  <c r="T5" i="36" s="1"/>
  <c r="K5" i="36"/>
  <c r="L14" i="36" l="1"/>
  <c r="M14" i="36" s="1"/>
  <c r="T14" i="36" s="1"/>
  <c r="L13" i="36"/>
  <c r="M13" i="36" s="1"/>
  <c r="L15" i="36" l="1"/>
  <c r="M15" i="36" s="1"/>
  <c r="T15" i="36" s="1"/>
  <c r="L12" i="36"/>
  <c r="M12" i="36" s="1"/>
  <c r="T12" i="36" s="1"/>
  <c r="L11" i="36"/>
  <c r="M11" i="36" s="1"/>
  <c r="T11" i="36" s="1"/>
  <c r="L10" i="36" l="1"/>
  <c r="M10" i="36" s="1"/>
  <c r="T10" i="36" s="1"/>
  <c r="L8" i="36"/>
  <c r="M8" i="36" s="1"/>
  <c r="T8" i="36" s="1"/>
  <c r="L7" i="36" l="1"/>
  <c r="M7" i="36" s="1"/>
  <c r="T7" i="36" s="1"/>
  <c r="K9" i="35"/>
  <c r="L4" i="35"/>
  <c r="M4" i="35" s="1"/>
  <c r="P66" i="16" l="1"/>
  <c r="Q66" i="16" s="1"/>
  <c r="G69" i="16"/>
  <c r="M3" i="25"/>
  <c r="P3" i="25"/>
  <c r="Q3" i="25" s="1"/>
  <c r="S3" i="25" s="1"/>
  <c r="L22" i="46" l="1"/>
  <c r="M22" i="46" s="1"/>
  <c r="P21" i="46"/>
  <c r="Q21" i="46" s="1"/>
  <c r="L21" i="46"/>
  <c r="M21" i="46" s="1"/>
  <c r="H21" i="46"/>
  <c r="I21" i="46" s="1"/>
  <c r="L18" i="46"/>
  <c r="M18" i="46" s="1"/>
  <c r="P17" i="46"/>
  <c r="Q17" i="46" s="1"/>
  <c r="S21" i="46" l="1"/>
  <c r="T21" i="46"/>
  <c r="P16" i="46" l="1"/>
  <c r="O4" i="46" l="1"/>
  <c r="K10" i="42" l="1"/>
  <c r="P9" i="42"/>
  <c r="Q9" i="42" s="1"/>
  <c r="P3" i="46" l="1"/>
  <c r="P4" i="46"/>
  <c r="Q4" i="46" s="1"/>
  <c r="P5" i="46"/>
  <c r="Q5" i="46" s="1"/>
  <c r="P7" i="46"/>
  <c r="Q7" i="46" s="1"/>
  <c r="P9" i="46"/>
  <c r="Q9" i="46" s="1"/>
  <c r="P11" i="46"/>
  <c r="Q11" i="46" s="1"/>
  <c r="P12" i="46"/>
  <c r="Q12" i="46" s="1"/>
  <c r="P13" i="46"/>
  <c r="Q13" i="46" s="1"/>
  <c r="P14" i="46"/>
  <c r="Q14" i="46" s="1"/>
  <c r="P15" i="46"/>
  <c r="Q15" i="46" s="1"/>
  <c r="Q16" i="46"/>
  <c r="P19" i="46"/>
  <c r="Q19" i="46" s="1"/>
  <c r="P20" i="46"/>
  <c r="Q20" i="46" s="1"/>
  <c r="P23" i="46"/>
  <c r="Q23" i="46" s="1"/>
  <c r="Q3" i="46" l="1"/>
  <c r="T23" i="46"/>
  <c r="P2" i="46"/>
  <c r="Q2" i="46" s="1"/>
  <c r="L20" i="46"/>
  <c r="M20" i="46" s="1"/>
  <c r="T20" i="46" s="1"/>
  <c r="L19" i="46"/>
  <c r="M19" i="46" s="1"/>
  <c r="T19" i="46" s="1"/>
  <c r="L17" i="46"/>
  <c r="M17" i="46" s="1"/>
  <c r="T17" i="46" s="1"/>
  <c r="L16" i="46"/>
  <c r="M16" i="46" s="1"/>
  <c r="T16" i="46" s="1"/>
  <c r="L15" i="46"/>
  <c r="M15" i="46" s="1"/>
  <c r="T15" i="46" s="1"/>
  <c r="L14" i="46"/>
  <c r="M14" i="46" s="1"/>
  <c r="T14" i="46" s="1"/>
  <c r="L13" i="46"/>
  <c r="M13" i="46" s="1"/>
  <c r="T13" i="46" s="1"/>
  <c r="L12" i="46"/>
  <c r="M12" i="46" s="1"/>
  <c r="T12" i="46" s="1"/>
  <c r="L11" i="46"/>
  <c r="M11" i="46" s="1"/>
  <c r="T11" i="46" s="1"/>
  <c r="L10" i="46"/>
  <c r="M10" i="46" s="1"/>
  <c r="T10" i="46" s="1"/>
  <c r="L9" i="46"/>
  <c r="M9" i="46" s="1"/>
  <c r="T9" i="46" s="1"/>
  <c r="L8" i="46"/>
  <c r="M8" i="46" s="1"/>
  <c r="T8" i="46" s="1"/>
  <c r="L7" i="46"/>
  <c r="M7" i="46" s="1"/>
  <c r="T7" i="46" s="1"/>
  <c r="L6" i="46"/>
  <c r="M6" i="46" s="1"/>
  <c r="T6" i="46" s="1"/>
  <c r="L5" i="46"/>
  <c r="M5" i="46" s="1"/>
  <c r="T5" i="46" s="1"/>
  <c r="L4" i="46"/>
  <c r="M4" i="46" s="1"/>
  <c r="T4" i="46" s="1"/>
  <c r="L3" i="46"/>
  <c r="M3" i="46" s="1"/>
  <c r="T3" i="46" s="1"/>
  <c r="L2" i="46"/>
  <c r="M2" i="46" s="1"/>
  <c r="T2" i="46" l="1"/>
  <c r="P24" i="46"/>
  <c r="Q24" i="46"/>
  <c r="I27" i="28" s="1"/>
  <c r="H23" i="46"/>
  <c r="I23" i="46" s="1"/>
  <c r="S23" i="46" s="1"/>
  <c r="H20" i="46"/>
  <c r="I20" i="46" s="1"/>
  <c r="S20" i="46" s="1"/>
  <c r="H19" i="46"/>
  <c r="I19" i="46" s="1"/>
  <c r="S19" i="46" s="1"/>
  <c r="H17" i="46"/>
  <c r="I17" i="46" s="1"/>
  <c r="S17" i="46" s="1"/>
  <c r="H16" i="46"/>
  <c r="I16" i="46" s="1"/>
  <c r="S16" i="46" s="1"/>
  <c r="H15" i="46"/>
  <c r="I15" i="46" s="1"/>
  <c r="S15" i="46" s="1"/>
  <c r="H14" i="46"/>
  <c r="I14" i="46" s="1"/>
  <c r="S14" i="46" s="1"/>
  <c r="H13" i="46"/>
  <c r="I13" i="46" s="1"/>
  <c r="S13" i="46" s="1"/>
  <c r="H12" i="46"/>
  <c r="I12" i="46" s="1"/>
  <c r="S12" i="46" s="1"/>
  <c r="H11" i="46"/>
  <c r="I11" i="46" s="1"/>
  <c r="S11" i="46" s="1"/>
  <c r="H10" i="46"/>
  <c r="I10" i="46" s="1"/>
  <c r="H9" i="46"/>
  <c r="I9" i="46" s="1"/>
  <c r="S9" i="46" s="1"/>
  <c r="H8" i="46"/>
  <c r="I8" i="46" s="1"/>
  <c r="H7" i="46"/>
  <c r="I7" i="46" s="1"/>
  <c r="S7" i="46" s="1"/>
  <c r="H6" i="46"/>
  <c r="I6" i="46" s="1"/>
  <c r="H5" i="46"/>
  <c r="I5" i="46" s="1"/>
  <c r="S5" i="46" s="1"/>
  <c r="G4" i="46"/>
  <c r="H4" i="46" s="1"/>
  <c r="I4" i="46" s="1"/>
  <c r="S4" i="46" s="1"/>
  <c r="H3" i="46"/>
  <c r="I3" i="46" s="1"/>
  <c r="S3" i="46" s="1"/>
  <c r="H2" i="46"/>
  <c r="I2" i="46" s="1"/>
  <c r="S2" i="46" s="1"/>
  <c r="S24" i="46" l="1"/>
  <c r="M27" i="28" s="1"/>
  <c r="N27" i="28" s="1"/>
  <c r="J27" i="28"/>
  <c r="L27" i="28"/>
  <c r="I24" i="46"/>
  <c r="T14" i="21" l="1"/>
  <c r="T20" i="21"/>
  <c r="T32" i="21"/>
  <c r="P63" i="21"/>
  <c r="Q63" i="21" s="1"/>
  <c r="T63" i="21" s="1"/>
  <c r="H12" i="42" l="1"/>
  <c r="I12" i="42" s="1"/>
  <c r="H11" i="42"/>
  <c r="I11" i="42" s="1"/>
  <c r="H9" i="42"/>
  <c r="I9" i="42" s="1"/>
  <c r="S9" i="42" s="1"/>
  <c r="H8" i="42"/>
  <c r="I8" i="42" s="1"/>
  <c r="H7" i="42"/>
  <c r="I7" i="42" s="1"/>
  <c r="H6" i="42"/>
  <c r="I6" i="42" s="1"/>
  <c r="H5" i="42"/>
  <c r="I5" i="42" s="1"/>
  <c r="H4" i="42"/>
  <c r="I4" i="42" s="1"/>
  <c r="H3" i="42"/>
  <c r="I3" i="42" s="1"/>
  <c r="P13" i="42"/>
  <c r="Q13" i="42"/>
  <c r="S13" i="42"/>
  <c r="S19" i="35"/>
  <c r="S4" i="34"/>
  <c r="S5" i="34"/>
  <c r="S6" i="34"/>
  <c r="S7" i="34"/>
  <c r="T8" i="34"/>
  <c r="T22" i="34"/>
  <c r="T23" i="34"/>
  <c r="S24" i="34"/>
  <c r="T27" i="34"/>
  <c r="T28" i="34"/>
  <c r="T29" i="34"/>
  <c r="T31" i="34"/>
  <c r="T32" i="34"/>
  <c r="T33" i="34"/>
  <c r="H24" i="35"/>
  <c r="I24" i="35" s="1"/>
  <c r="H22" i="35"/>
  <c r="I22" i="35" s="1"/>
  <c r="H21" i="35"/>
  <c r="I21" i="35" s="1"/>
  <c r="H20" i="35"/>
  <c r="I20" i="35" s="1"/>
  <c r="H19" i="35"/>
  <c r="H18" i="35"/>
  <c r="I18" i="35" s="1"/>
  <c r="S18" i="35" s="1"/>
  <c r="H17" i="35"/>
  <c r="I17" i="35" s="1"/>
  <c r="H16" i="35"/>
  <c r="I16" i="35" s="1"/>
  <c r="H15" i="35"/>
  <c r="I15" i="35" s="1"/>
  <c r="G14" i="35"/>
  <c r="H14" i="35" s="1"/>
  <c r="I14" i="35" s="1"/>
  <c r="H13" i="35"/>
  <c r="I13" i="35" s="1"/>
  <c r="I12" i="35"/>
  <c r="G12" i="35"/>
  <c r="H12" i="35" s="1"/>
  <c r="H11" i="35"/>
  <c r="I11" i="35" s="1"/>
  <c r="H10" i="35"/>
  <c r="I10" i="35" s="1"/>
  <c r="H9" i="35"/>
  <c r="I9" i="35" s="1"/>
  <c r="S9" i="35" s="1"/>
  <c r="H8" i="35"/>
  <c r="I8" i="35" s="1"/>
  <c r="H7" i="35"/>
  <c r="I7" i="35" s="1"/>
  <c r="H6" i="35"/>
  <c r="I6" i="35" s="1"/>
  <c r="H5" i="35"/>
  <c r="H4" i="35"/>
  <c r="I4" i="35" s="1"/>
  <c r="H3" i="35"/>
  <c r="I3" i="35" s="1"/>
  <c r="H2" i="35"/>
  <c r="I2" i="35" s="1"/>
  <c r="H33" i="34"/>
  <c r="I33" i="34" s="1"/>
  <c r="H30" i="34"/>
  <c r="I30" i="34" s="1"/>
  <c r="S30" i="34" s="1"/>
  <c r="H29" i="34"/>
  <c r="I29" i="34" s="1"/>
  <c r="H28" i="34"/>
  <c r="I28" i="34" s="1"/>
  <c r="H27" i="34"/>
  <c r="I27" i="34" s="1"/>
  <c r="H26" i="34"/>
  <c r="I26" i="34" s="1"/>
  <c r="H25" i="34"/>
  <c r="I25" i="34" s="1"/>
  <c r="H24" i="34"/>
  <c r="H23" i="34"/>
  <c r="I23" i="34" s="1"/>
  <c r="H22" i="34"/>
  <c r="I22" i="34" s="1"/>
  <c r="H21" i="34"/>
  <c r="I21" i="34" s="1"/>
  <c r="G20" i="34"/>
  <c r="H20" i="34" s="1"/>
  <c r="I20" i="34" s="1"/>
  <c r="H19" i="34"/>
  <c r="I19" i="34" s="1"/>
  <c r="G18" i="34"/>
  <c r="H18" i="34" s="1"/>
  <c r="I18" i="34" s="1"/>
  <c r="H17" i="34"/>
  <c r="I17" i="34" s="1"/>
  <c r="I16" i="34"/>
  <c r="G16" i="34"/>
  <c r="H16" i="34" s="1"/>
  <c r="H15" i="34"/>
  <c r="I15" i="34" s="1"/>
  <c r="H14" i="34"/>
  <c r="I14" i="34" s="1"/>
  <c r="H13" i="34"/>
  <c r="I13" i="34" s="1"/>
  <c r="H12" i="34"/>
  <c r="I12" i="34" s="1"/>
  <c r="H11" i="34"/>
  <c r="I11" i="34" s="1"/>
  <c r="H10" i="34"/>
  <c r="I10" i="34" s="1"/>
  <c r="G9" i="34"/>
  <c r="H9" i="34" s="1"/>
  <c r="I9" i="34" s="1"/>
  <c r="G4" i="34"/>
  <c r="H3" i="34"/>
  <c r="I3" i="34" s="1"/>
  <c r="H2" i="34"/>
  <c r="I2" i="34" s="1"/>
  <c r="Q6" i="40"/>
  <c r="T6" i="40" s="1"/>
  <c r="Q5" i="40"/>
  <c r="T5" i="40" s="1"/>
  <c r="H22" i="36"/>
  <c r="I22" i="36" s="1"/>
  <c r="H21" i="36"/>
  <c r="I21" i="36" s="1"/>
  <c r="H20" i="36"/>
  <c r="I20" i="36" s="1"/>
  <c r="H19" i="36"/>
  <c r="I19" i="36" s="1"/>
  <c r="H17" i="36"/>
  <c r="I17" i="36" s="1"/>
  <c r="H16" i="36"/>
  <c r="I16" i="36" s="1"/>
  <c r="S16" i="36" s="1"/>
  <c r="H15" i="36"/>
  <c r="I15" i="36" s="1"/>
  <c r="S15" i="36" s="1"/>
  <c r="H9" i="36"/>
  <c r="I9" i="36" s="1"/>
  <c r="H4" i="36"/>
  <c r="P10" i="40"/>
  <c r="Q10" i="40" s="1"/>
  <c r="T10" i="40" s="1"/>
  <c r="P8" i="40"/>
  <c r="Q8" i="40" s="1"/>
  <c r="Q44" i="21"/>
  <c r="P23" i="25"/>
  <c r="O23" i="25" s="1"/>
  <c r="P3" i="35"/>
  <c r="Q3" i="35" s="1"/>
  <c r="P2" i="37"/>
  <c r="Q2" i="37" s="1"/>
  <c r="L2" i="37"/>
  <c r="M2" i="37" s="1"/>
  <c r="H2" i="37"/>
  <c r="I2" i="37" s="1"/>
  <c r="H18" i="36"/>
  <c r="I18" i="36" s="1"/>
  <c r="H14" i="36"/>
  <c r="I14" i="36" s="1"/>
  <c r="S14" i="36" s="1"/>
  <c r="H13" i="36"/>
  <c r="I13" i="36" s="1"/>
  <c r="H12" i="36"/>
  <c r="I12" i="36" s="1"/>
  <c r="S12" i="36" s="1"/>
  <c r="H11" i="36"/>
  <c r="I11" i="36" s="1"/>
  <c r="S11" i="36" s="1"/>
  <c r="H10" i="36"/>
  <c r="I10" i="36" s="1"/>
  <c r="S10" i="36" s="1"/>
  <c r="H8" i="36"/>
  <c r="I8" i="36" s="1"/>
  <c r="S8" i="36" s="1"/>
  <c r="H7" i="36"/>
  <c r="I7" i="36"/>
  <c r="S7" i="36" s="1"/>
  <c r="H6" i="36"/>
  <c r="I6" i="36" s="1"/>
  <c r="H5" i="36"/>
  <c r="I5" i="36" s="1"/>
  <c r="S5" i="36" s="1"/>
  <c r="H3" i="36"/>
  <c r="I3" i="36" s="1"/>
  <c r="H2" i="36"/>
  <c r="I2" i="36" s="1"/>
  <c r="H23" i="35"/>
  <c r="P21" i="35"/>
  <c r="Q21" i="35" s="1"/>
  <c r="P20" i="35"/>
  <c r="Q20" i="35" s="1"/>
  <c r="P19" i="35"/>
  <c r="L21" i="35"/>
  <c r="M21" i="35" s="1"/>
  <c r="L20" i="35"/>
  <c r="M20" i="35" s="1"/>
  <c r="L19" i="35"/>
  <c r="M19" i="35" s="1"/>
  <c r="T19" i="35" s="1"/>
  <c r="L18" i="35"/>
  <c r="M18" i="35" s="1"/>
  <c r="T18" i="35" s="1"/>
  <c r="P16" i="35"/>
  <c r="Q16" i="35" s="1"/>
  <c r="P15" i="35"/>
  <c r="Q15" i="35" s="1"/>
  <c r="K16" i="35"/>
  <c r="L16" i="35" s="1"/>
  <c r="M16" i="35" s="1"/>
  <c r="L15" i="35"/>
  <c r="M15" i="35" s="1"/>
  <c r="O14" i="35"/>
  <c r="P14" i="35" s="1"/>
  <c r="Q14" i="35" s="1"/>
  <c r="P13" i="35"/>
  <c r="Q13" i="35" s="1"/>
  <c r="K14" i="35"/>
  <c r="L14" i="35" s="1"/>
  <c r="M14" i="35" s="1"/>
  <c r="L13" i="35"/>
  <c r="M13" i="35" s="1"/>
  <c r="Q12" i="35"/>
  <c r="S12" i="35" s="1"/>
  <c r="O12" i="35"/>
  <c r="P12" i="35" s="1"/>
  <c r="P11" i="35"/>
  <c r="Q11" i="35" s="1"/>
  <c r="K12" i="35"/>
  <c r="L12" i="35" s="1"/>
  <c r="M12" i="35" s="1"/>
  <c r="L11" i="35"/>
  <c r="M11" i="35" s="1"/>
  <c r="P10" i="35"/>
  <c r="Q10" i="35" s="1"/>
  <c r="L10" i="35"/>
  <c r="M10" i="35" s="1"/>
  <c r="L9" i="35"/>
  <c r="M9" i="35" s="1"/>
  <c r="T9" i="35" s="1"/>
  <c r="P8" i="35"/>
  <c r="Q8" i="35" s="1"/>
  <c r="L8" i="35"/>
  <c r="M8" i="35" s="1"/>
  <c r="P7" i="35"/>
  <c r="Q7" i="35" s="1"/>
  <c r="L7" i="35"/>
  <c r="M7" i="35" s="1"/>
  <c r="P6" i="35"/>
  <c r="Q6" i="35" s="1"/>
  <c r="P5" i="35"/>
  <c r="Q5" i="35" s="1"/>
  <c r="L6" i="35"/>
  <c r="M6" i="35" s="1"/>
  <c r="L5" i="35"/>
  <c r="M5" i="35" s="1"/>
  <c r="P2" i="35"/>
  <c r="Q2" i="35" s="1"/>
  <c r="L2" i="35"/>
  <c r="M2" i="35" s="1"/>
  <c r="H32" i="34"/>
  <c r="I32" i="34" s="1"/>
  <c r="H31" i="34"/>
  <c r="I31" i="34" s="1"/>
  <c r="L30" i="34"/>
  <c r="M30" i="34" s="1"/>
  <c r="T30" i="34" s="1"/>
  <c r="O20" i="34"/>
  <c r="P20" i="34" s="1"/>
  <c r="Q20" i="34" s="1"/>
  <c r="K20" i="34"/>
  <c r="L20" i="34" s="1"/>
  <c r="M20" i="34" s="1"/>
  <c r="P19" i="34"/>
  <c r="Q19" i="34" s="1"/>
  <c r="L19" i="34"/>
  <c r="M19" i="34" s="1"/>
  <c r="L21" i="34"/>
  <c r="M21" i="34" s="1"/>
  <c r="L16" i="34"/>
  <c r="M16" i="34" s="1"/>
  <c r="L15" i="34"/>
  <c r="M15" i="34" s="1"/>
  <c r="O18" i="34"/>
  <c r="P18" i="34" s="1"/>
  <c r="Q18" i="34" s="1"/>
  <c r="K18" i="34"/>
  <c r="L18" i="34" s="1"/>
  <c r="M18" i="34" s="1"/>
  <c r="P17" i="34"/>
  <c r="Q17" i="34" s="1"/>
  <c r="L17" i="34"/>
  <c r="M17" i="34" s="1"/>
  <c r="I23" i="35"/>
  <c r="T3" i="35"/>
  <c r="P21" i="34"/>
  <c r="Q21" i="34" s="1"/>
  <c r="Q16" i="34"/>
  <c r="O16" i="34"/>
  <c r="P16" i="34" s="1"/>
  <c r="P15" i="34"/>
  <c r="Q15" i="34" s="1"/>
  <c r="H8" i="34"/>
  <c r="T3" i="40"/>
  <c r="T4" i="40"/>
  <c r="T11" i="40"/>
  <c r="T12" i="40"/>
  <c r="T15" i="40"/>
  <c r="T2" i="40"/>
  <c r="O6" i="40"/>
  <c r="O5" i="40"/>
  <c r="O9" i="40"/>
  <c r="P9" i="40" s="1"/>
  <c r="Q9" i="40" s="1"/>
  <c r="T9" i="40" s="1"/>
  <c r="O2" i="21"/>
  <c r="P7" i="40"/>
  <c r="Q7" i="40" s="1"/>
  <c r="T7" i="40" s="1"/>
  <c r="H7" i="40"/>
  <c r="I7" i="40" s="1"/>
  <c r="H6" i="40"/>
  <c r="I6" i="40" s="1"/>
  <c r="L14" i="34"/>
  <c r="M14" i="34" s="1"/>
  <c r="P14" i="34"/>
  <c r="Q14" i="34" s="1"/>
  <c r="P13" i="34"/>
  <c r="Q13" i="34" s="1"/>
  <c r="M13" i="34"/>
  <c r="P12" i="34"/>
  <c r="Q12" i="34" s="1"/>
  <c r="P11" i="34"/>
  <c r="Q11" i="34" s="1"/>
  <c r="M12" i="34"/>
  <c r="M11" i="34"/>
  <c r="P10" i="34"/>
  <c r="Q10" i="34" s="1"/>
  <c r="L10" i="34"/>
  <c r="M10" i="34" s="1"/>
  <c r="O9" i="34"/>
  <c r="P9" i="34" s="1"/>
  <c r="Q9" i="34" s="1"/>
  <c r="M9" i="34"/>
  <c r="K9" i="34"/>
  <c r="K4" i="34"/>
  <c r="K6" i="34"/>
  <c r="K5" i="34"/>
  <c r="P3" i="34"/>
  <c r="L3" i="34"/>
  <c r="M3" i="34" s="1"/>
  <c r="P2" i="34"/>
  <c r="Q2" i="34" s="1"/>
  <c r="L2" i="34"/>
  <c r="M2" i="34" s="1"/>
  <c r="H4" i="41"/>
  <c r="G4" i="41" s="1"/>
  <c r="H5" i="41"/>
  <c r="G5" i="41" s="1"/>
  <c r="H6" i="41"/>
  <c r="G6" i="41" s="1"/>
  <c r="H7" i="41"/>
  <c r="G7" i="41" s="1"/>
  <c r="H8" i="41"/>
  <c r="G8" i="41" s="1"/>
  <c r="H9" i="41"/>
  <c r="G9" i="41" s="1"/>
  <c r="H10" i="41"/>
  <c r="G10" i="41" s="1"/>
  <c r="H3" i="41"/>
  <c r="G3" i="41" s="1"/>
  <c r="I11" i="41"/>
  <c r="H4" i="40"/>
  <c r="I4" i="40" s="1"/>
  <c r="H2" i="40"/>
  <c r="I2" i="40" s="1"/>
  <c r="H15" i="40"/>
  <c r="I15" i="40" s="1"/>
  <c r="S15" i="40" s="1"/>
  <c r="H12" i="40"/>
  <c r="I12" i="40" s="1"/>
  <c r="H11" i="40"/>
  <c r="I11" i="40" s="1"/>
  <c r="S11" i="40" s="1"/>
  <c r="H10" i="40"/>
  <c r="I10" i="40" s="1"/>
  <c r="S10" i="40" s="1"/>
  <c r="H9" i="40"/>
  <c r="I9" i="40" s="1"/>
  <c r="H8" i="40"/>
  <c r="H5" i="40"/>
  <c r="I5" i="40" s="1"/>
  <c r="H3" i="40"/>
  <c r="I3" i="40" s="1"/>
  <c r="D28" i="28"/>
  <c r="K28" i="28"/>
  <c r="O28" i="28"/>
  <c r="L25" i="34"/>
  <c r="M25" i="34" s="1"/>
  <c r="L26" i="34"/>
  <c r="M26" i="34" s="1"/>
  <c r="K24" i="34"/>
  <c r="L24" i="34" s="1"/>
  <c r="M24" i="34" s="1"/>
  <c r="T24" i="34" s="1"/>
  <c r="M5" i="34"/>
  <c r="T5" i="34" s="1"/>
  <c r="M4" i="34"/>
  <c r="T4" i="34" s="1"/>
  <c r="M6" i="34"/>
  <c r="T6" i="34" s="1"/>
  <c r="M7" i="34"/>
  <c r="T7" i="34" s="1"/>
  <c r="P26" i="34"/>
  <c r="Q26" i="34" s="1"/>
  <c r="P25" i="34"/>
  <c r="Q25" i="34" s="1"/>
  <c r="P24" i="34"/>
  <c r="O4" i="34"/>
  <c r="S25" i="15"/>
  <c r="O20" i="15"/>
  <c r="P20" i="15" s="1"/>
  <c r="Q20" i="15" s="1"/>
  <c r="P13" i="24"/>
  <c r="O13" i="24" s="1"/>
  <c r="H14" i="33"/>
  <c r="I14" i="33" s="1"/>
  <c r="H6" i="33"/>
  <c r="I6" i="33" s="1"/>
  <c r="P2" i="33"/>
  <c r="Q2" i="33" s="1"/>
  <c r="H18" i="33"/>
  <c r="I18" i="33" s="1"/>
  <c r="H17" i="33"/>
  <c r="I17" i="33" s="1"/>
  <c r="P17" i="33"/>
  <c r="Q17" i="33" s="1"/>
  <c r="H16" i="33"/>
  <c r="I16" i="33" s="1"/>
  <c r="P16" i="33"/>
  <c r="Q16" i="33" s="1"/>
  <c r="T16" i="33" s="1"/>
  <c r="H15" i="33"/>
  <c r="I15" i="33" s="1"/>
  <c r="P15" i="33"/>
  <c r="Q15" i="33" s="1"/>
  <c r="S15" i="33" s="1"/>
  <c r="H13" i="33"/>
  <c r="I13" i="33" s="1"/>
  <c r="P13" i="33"/>
  <c r="Q13" i="33" s="1"/>
  <c r="S13" i="33" s="1"/>
  <c r="H12" i="33"/>
  <c r="I12" i="33" s="1"/>
  <c r="P12" i="33"/>
  <c r="Q12" i="33" s="1"/>
  <c r="S12" i="33" s="1"/>
  <c r="H11" i="33"/>
  <c r="I11" i="33" s="1"/>
  <c r="P11" i="33"/>
  <c r="Q11" i="33" s="1"/>
  <c r="S11" i="33" s="1"/>
  <c r="H10" i="33"/>
  <c r="I10" i="33" s="1"/>
  <c r="P10" i="33"/>
  <c r="Q10" i="33" s="1"/>
  <c r="S10" i="33" s="1"/>
  <c r="H9" i="33"/>
  <c r="I9" i="33" s="1"/>
  <c r="P9" i="33"/>
  <c r="Q9" i="33" s="1"/>
  <c r="S9" i="33" s="1"/>
  <c r="H8" i="33"/>
  <c r="I8" i="33" s="1"/>
  <c r="P8" i="33"/>
  <c r="Q8" i="33" s="1"/>
  <c r="S8" i="33" s="1"/>
  <c r="H7" i="33"/>
  <c r="I7" i="33" s="1"/>
  <c r="P7" i="33"/>
  <c r="Q7" i="33" s="1"/>
  <c r="S7" i="33" s="1"/>
  <c r="P5" i="33"/>
  <c r="Q5" i="33" s="1"/>
  <c r="H5" i="33"/>
  <c r="I5" i="33" s="1"/>
  <c r="P4" i="33"/>
  <c r="Q4" i="33" s="1"/>
  <c r="L4" i="33"/>
  <c r="M4" i="33" s="1"/>
  <c r="H4" i="33"/>
  <c r="I4" i="33" s="1"/>
  <c r="T3" i="33"/>
  <c r="H3" i="33"/>
  <c r="I3" i="33" s="1"/>
  <c r="L2" i="33"/>
  <c r="M2" i="33" s="1"/>
  <c r="H2" i="33"/>
  <c r="I2" i="33" s="1"/>
  <c r="S16" i="33"/>
  <c r="Q66" i="21"/>
  <c r="L2" i="21"/>
  <c r="M2" i="21" s="1"/>
  <c r="P4" i="28"/>
  <c r="I4" i="28"/>
  <c r="L4" i="28" s="1"/>
  <c r="H23" i="26"/>
  <c r="I23" i="26" s="1"/>
  <c r="H25" i="26"/>
  <c r="I25" i="26" s="1"/>
  <c r="H24" i="26"/>
  <c r="I24" i="26" s="1"/>
  <c r="L19" i="28"/>
  <c r="E19" i="28"/>
  <c r="L18" i="28"/>
  <c r="E18" i="28"/>
  <c r="L17" i="28"/>
  <c r="E17" i="28"/>
  <c r="L16" i="28"/>
  <c r="E16" i="28"/>
  <c r="O33" i="21"/>
  <c r="O11" i="21"/>
  <c r="O2" i="26"/>
  <c r="O9" i="25"/>
  <c r="Q9" i="25"/>
  <c r="O12" i="11"/>
  <c r="P12" i="11" s="1"/>
  <c r="Q12" i="11" s="1"/>
  <c r="L12" i="11"/>
  <c r="M12" i="11" s="1"/>
  <c r="P23" i="28"/>
  <c r="M23" i="28"/>
  <c r="L23" i="28"/>
  <c r="L15" i="28"/>
  <c r="P14" i="28"/>
  <c r="L14" i="28"/>
  <c r="E14" i="28"/>
  <c r="P13" i="28"/>
  <c r="P12" i="28"/>
  <c r="P11" i="28"/>
  <c r="E11" i="28"/>
  <c r="P10" i="28"/>
  <c r="E10" i="28"/>
  <c r="P9" i="28"/>
  <c r="E9" i="28"/>
  <c r="P8" i="28"/>
  <c r="E8" i="28"/>
  <c r="P7" i="28"/>
  <c r="E7" i="28"/>
  <c r="P6" i="28"/>
  <c r="E6" i="28"/>
  <c r="P5" i="28"/>
  <c r="E5" i="28"/>
  <c r="P3" i="28"/>
  <c r="E3" i="28"/>
  <c r="P2" i="28"/>
  <c r="E2" i="28"/>
  <c r="P2" i="18"/>
  <c r="Q2" i="18" s="1"/>
  <c r="T2" i="18" s="1"/>
  <c r="O2" i="19"/>
  <c r="L44" i="19"/>
  <c r="M44" i="19" s="1"/>
  <c r="T44" i="19" s="1"/>
  <c r="O2" i="13"/>
  <c r="P68" i="16"/>
  <c r="O3" i="13"/>
  <c r="P3" i="13" s="1"/>
  <c r="Q3" i="13" s="1"/>
  <c r="O3" i="19"/>
  <c r="P3" i="19" s="1"/>
  <c r="Q3" i="19" s="1"/>
  <c r="P19" i="13"/>
  <c r="P15" i="21"/>
  <c r="Q15" i="21" s="1"/>
  <c r="P78" i="21"/>
  <c r="Q78" i="21" s="1"/>
  <c r="P60" i="21"/>
  <c r="Q60" i="21" s="1"/>
  <c r="H26" i="21"/>
  <c r="I26" i="21" s="1"/>
  <c r="H72" i="21"/>
  <c r="I72" i="21" s="1"/>
  <c r="L68" i="16"/>
  <c r="M68" i="16" s="1"/>
  <c r="P33" i="13"/>
  <c r="Q33" i="13" s="1"/>
  <c r="P57" i="19"/>
  <c r="P6" i="13"/>
  <c r="Q6" i="13" s="1"/>
  <c r="L6" i="13"/>
  <c r="M6" i="13" s="1"/>
  <c r="H6" i="13"/>
  <c r="I6" i="13" s="1"/>
  <c r="P5" i="13"/>
  <c r="Q5" i="13" s="1"/>
  <c r="L5" i="13"/>
  <c r="M5" i="13" s="1"/>
  <c r="H5" i="13"/>
  <c r="I5" i="13" s="1"/>
  <c r="Q2" i="13"/>
  <c r="L2" i="13"/>
  <c r="M2" i="13" s="1"/>
  <c r="H2" i="13"/>
  <c r="I2" i="13" s="1"/>
  <c r="Q2" i="19"/>
  <c r="L2" i="19"/>
  <c r="M2" i="19" s="1"/>
  <c r="H2" i="19"/>
  <c r="I2" i="19" s="1"/>
  <c r="P10" i="19"/>
  <c r="Q10" i="19" s="1"/>
  <c r="L10" i="19"/>
  <c r="M10" i="19" s="1"/>
  <c r="H10" i="19"/>
  <c r="I10" i="19" s="1"/>
  <c r="P9" i="19"/>
  <c r="Q9" i="19" s="1"/>
  <c r="L9" i="19"/>
  <c r="M9" i="19" s="1"/>
  <c r="H9" i="19"/>
  <c r="I9" i="19" s="1"/>
  <c r="P8" i="19"/>
  <c r="Q8" i="19" s="1"/>
  <c r="L8" i="19"/>
  <c r="M8" i="19" s="1"/>
  <c r="H8" i="19"/>
  <c r="I8" i="19" s="1"/>
  <c r="P7" i="19"/>
  <c r="Q7" i="19" s="1"/>
  <c r="L7" i="19"/>
  <c r="M7" i="19" s="1"/>
  <c r="H7" i="19"/>
  <c r="I7" i="19" s="1"/>
  <c r="P6" i="19"/>
  <c r="Q6" i="19" s="1"/>
  <c r="L6" i="19"/>
  <c r="M6" i="19" s="1"/>
  <c r="H6" i="19"/>
  <c r="I6" i="19" s="1"/>
  <c r="Q32" i="19"/>
  <c r="T32" i="19" s="1"/>
  <c r="P28" i="19"/>
  <c r="L2" i="25"/>
  <c r="M2" i="25" s="1"/>
  <c r="P6" i="25"/>
  <c r="Q6" i="25" s="1"/>
  <c r="O5" i="25"/>
  <c r="P5" i="25" s="1"/>
  <c r="Q5" i="25" s="1"/>
  <c r="P26" i="21"/>
  <c r="Q26" i="21" s="1"/>
  <c r="H27" i="21"/>
  <c r="I27" i="21" s="1"/>
  <c r="S27" i="21" s="1"/>
  <c r="O2" i="24"/>
  <c r="O2" i="23"/>
  <c r="P2" i="23" s="1"/>
  <c r="Q2" i="23" s="1"/>
  <c r="L66" i="16"/>
  <c r="M66" i="16" s="1"/>
  <c r="T66" i="16" s="1"/>
  <c r="H66" i="16"/>
  <c r="I66" i="16" s="1"/>
  <c r="S66" i="16" s="1"/>
  <c r="H69" i="16"/>
  <c r="I69" i="16" s="1"/>
  <c r="O67" i="16"/>
  <c r="P67" i="16" s="1"/>
  <c r="Q67" i="16" s="1"/>
  <c r="O65" i="16"/>
  <c r="P65" i="16" s="1"/>
  <c r="Q65" i="16" s="1"/>
  <c r="K20" i="15"/>
  <c r="L20" i="15" s="1"/>
  <c r="M20" i="15" s="1"/>
  <c r="O21" i="15"/>
  <c r="H20" i="15"/>
  <c r="I20" i="15" s="1"/>
  <c r="G21" i="15"/>
  <c r="H21" i="15" s="1"/>
  <c r="I21" i="15" s="1"/>
  <c r="P72" i="21"/>
  <c r="Q72" i="21" s="1"/>
  <c r="L72" i="21"/>
  <c r="M72" i="21" s="1"/>
  <c r="P57" i="21"/>
  <c r="Q57" i="21" s="1"/>
  <c r="L57" i="21"/>
  <c r="M57" i="21" s="1"/>
  <c r="P42" i="21"/>
  <c r="Q42" i="21" s="1"/>
  <c r="M42" i="21"/>
  <c r="L26" i="21"/>
  <c r="M26" i="21" s="1"/>
  <c r="Q2" i="26"/>
  <c r="Q33" i="21"/>
  <c r="P28" i="21"/>
  <c r="Q28" i="21" s="1"/>
  <c r="P19" i="21"/>
  <c r="Q19" i="21" s="1"/>
  <c r="P16" i="21"/>
  <c r="Q16" i="21" s="1"/>
  <c r="Q11" i="21"/>
  <c r="P45" i="21"/>
  <c r="Q45" i="21" s="1"/>
  <c r="P80" i="21"/>
  <c r="Q80" i="21" s="1"/>
  <c r="P53" i="21"/>
  <c r="Q53" i="21" s="1"/>
  <c r="O43" i="21"/>
  <c r="P43" i="21" s="1"/>
  <c r="Q43" i="21" s="1"/>
  <c r="O9" i="21"/>
  <c r="P9" i="21" s="1"/>
  <c r="Q9" i="21" s="1"/>
  <c r="K80" i="21"/>
  <c r="K53" i="21"/>
  <c r="K9" i="21"/>
  <c r="L9" i="21" s="1"/>
  <c r="M9" i="21" s="1"/>
  <c r="K43" i="21"/>
  <c r="L43" i="21" s="1"/>
  <c r="M43" i="21" s="1"/>
  <c r="K16" i="21"/>
  <c r="H23" i="25"/>
  <c r="I23" i="25" s="1"/>
  <c r="S23" i="25" s="1"/>
  <c r="H22" i="25"/>
  <c r="I22" i="25" s="1"/>
  <c r="H21" i="25"/>
  <c r="I21" i="25" s="1"/>
  <c r="H20" i="25"/>
  <c r="I20" i="25" s="1"/>
  <c r="H19" i="25"/>
  <c r="I19" i="25" s="1"/>
  <c r="H18" i="25"/>
  <c r="I18" i="25" s="1"/>
  <c r="H17" i="25"/>
  <c r="I17" i="25" s="1"/>
  <c r="H16" i="25"/>
  <c r="I16" i="25" s="1"/>
  <c r="H15" i="25"/>
  <c r="I15" i="25" s="1"/>
  <c r="H14" i="25"/>
  <c r="I14" i="25" s="1"/>
  <c r="H13" i="25"/>
  <c r="I13" i="25" s="1"/>
  <c r="H12" i="25"/>
  <c r="I12" i="25" s="1"/>
  <c r="H11" i="25"/>
  <c r="I11" i="25" s="1"/>
  <c r="H10" i="25"/>
  <c r="I10" i="25" s="1"/>
  <c r="H9" i="25"/>
  <c r="I9" i="25" s="1"/>
  <c r="H8" i="25"/>
  <c r="I8" i="25" s="1"/>
  <c r="H7" i="25"/>
  <c r="I7" i="25" s="1"/>
  <c r="H6" i="25"/>
  <c r="I6" i="25" s="1"/>
  <c r="H5" i="25"/>
  <c r="I5" i="25" s="1"/>
  <c r="H2" i="25"/>
  <c r="I2" i="25" s="1"/>
  <c r="K5" i="25"/>
  <c r="L5" i="25" s="1"/>
  <c r="M5" i="25" s="1"/>
  <c r="P2" i="24"/>
  <c r="Q2" i="24" s="1"/>
  <c r="K2" i="24"/>
  <c r="L2" i="24" s="1"/>
  <c r="M2" i="24" s="1"/>
  <c r="K2" i="23"/>
  <c r="L2" i="23" s="1"/>
  <c r="M2" i="23" s="1"/>
  <c r="L64" i="16"/>
  <c r="M64" i="16" s="1"/>
  <c r="L63" i="16"/>
  <c r="M63" i="16" s="1"/>
  <c r="L62" i="16"/>
  <c r="M62" i="16" s="1"/>
  <c r="L61" i="16"/>
  <c r="M61" i="16" s="1"/>
  <c r="P64" i="16"/>
  <c r="Q64" i="16" s="1"/>
  <c r="P63" i="16"/>
  <c r="Q63" i="16" s="1"/>
  <c r="P62" i="16"/>
  <c r="Q62" i="16" s="1"/>
  <c r="T62" i="16" s="1"/>
  <c r="P61" i="16"/>
  <c r="Q61" i="16" s="1"/>
  <c r="K67" i="16"/>
  <c r="L67" i="16" s="1"/>
  <c r="M67" i="16" s="1"/>
  <c r="K65" i="16"/>
  <c r="L65" i="16" s="1"/>
  <c r="M65" i="16" s="1"/>
  <c r="H64" i="16"/>
  <c r="I64" i="16" s="1"/>
  <c r="H68" i="16"/>
  <c r="I68" i="16" s="1"/>
  <c r="S68" i="16" s="1"/>
  <c r="H63" i="16"/>
  <c r="I63" i="16" s="1"/>
  <c r="H67" i="16"/>
  <c r="I67" i="16" s="1"/>
  <c r="H65" i="16"/>
  <c r="I65" i="16" s="1"/>
  <c r="H62" i="16"/>
  <c r="I62" i="16" s="1"/>
  <c r="H61" i="16"/>
  <c r="I61" i="16" s="1"/>
  <c r="K21" i="15"/>
  <c r="L21" i="15" s="1"/>
  <c r="M21" i="15" s="1"/>
  <c r="P21" i="15"/>
  <c r="Q21" i="15" s="1"/>
  <c r="P3" i="18"/>
  <c r="Q3" i="18" s="1"/>
  <c r="L13" i="13"/>
  <c r="M13" i="13" s="1"/>
  <c r="P40" i="19"/>
  <c r="Q40" i="19" s="1"/>
  <c r="P4" i="19"/>
  <c r="O53" i="19"/>
  <c r="P53" i="19" s="1"/>
  <c r="Q53" i="19" s="1"/>
  <c r="K53" i="19"/>
  <c r="L53" i="19" s="1"/>
  <c r="M53" i="19" s="1"/>
  <c r="O52" i="19"/>
  <c r="K52" i="19"/>
  <c r="L52" i="19" s="1"/>
  <c r="M52" i="19" s="1"/>
  <c r="H53" i="19"/>
  <c r="I53" i="19" s="1"/>
  <c r="O20" i="13"/>
  <c r="P20" i="13" s="1"/>
  <c r="Q20" i="13" s="1"/>
  <c r="O29" i="19"/>
  <c r="P29" i="19" s="1"/>
  <c r="Q29" i="19" s="1"/>
  <c r="O5" i="19"/>
  <c r="P5" i="19" s="1"/>
  <c r="Q5" i="19" s="1"/>
  <c r="T18" i="19"/>
  <c r="P19" i="19"/>
  <c r="Q19" i="19" s="1"/>
  <c r="P44" i="21"/>
  <c r="P41" i="21"/>
  <c r="Q41" i="21" s="1"/>
  <c r="O14" i="19"/>
  <c r="P14" i="19" s="1"/>
  <c r="Q14" i="19" s="1"/>
  <c r="O13" i="19"/>
  <c r="L14" i="19"/>
  <c r="M14" i="19" s="1"/>
  <c r="H14" i="19"/>
  <c r="I14" i="19" s="1"/>
  <c r="K59" i="16"/>
  <c r="L59" i="16" s="1"/>
  <c r="M59" i="16" s="1"/>
  <c r="O59" i="16"/>
  <c r="P59" i="16" s="1"/>
  <c r="Q59" i="16" s="1"/>
  <c r="P52" i="19"/>
  <c r="Q52" i="19" s="1"/>
  <c r="P60" i="16"/>
  <c r="Q60" i="16" s="1"/>
  <c r="L60" i="16"/>
  <c r="M60" i="16" s="1"/>
  <c r="P59" i="19"/>
  <c r="Q59" i="19" s="1"/>
  <c r="P55" i="19"/>
  <c r="Q55" i="19" s="1"/>
  <c r="P12" i="13"/>
  <c r="Q12" i="13" s="1"/>
  <c r="P13" i="13"/>
  <c r="Q13" i="13" s="1"/>
  <c r="O86" i="21"/>
  <c r="P86" i="21" s="1"/>
  <c r="Q86" i="21" s="1"/>
  <c r="K86" i="21"/>
  <c r="P23" i="13"/>
  <c r="Q23" i="13" s="1"/>
  <c r="P42" i="19"/>
  <c r="Q42" i="19" s="1"/>
  <c r="P47" i="19"/>
  <c r="Q47" i="19" s="1"/>
  <c r="P11" i="19"/>
  <c r="Q11" i="19" s="1"/>
  <c r="P20" i="19"/>
  <c r="Q20" i="19" s="1"/>
  <c r="O48" i="19"/>
  <c r="P48" i="19" s="1"/>
  <c r="Q48" i="19" s="1"/>
  <c r="P35" i="19"/>
  <c r="Q35" i="19" s="1"/>
  <c r="P21" i="19"/>
  <c r="Q21" i="19" s="1"/>
  <c r="P9" i="18"/>
  <c r="Q9" i="18" s="1"/>
  <c r="P24" i="13"/>
  <c r="Q24" i="13" s="1"/>
  <c r="P21" i="13"/>
  <c r="Q21" i="13" s="1"/>
  <c r="L21" i="13"/>
  <c r="M21" i="13" s="1"/>
  <c r="P31" i="13"/>
  <c r="Q31" i="13" s="1"/>
  <c r="P30" i="13"/>
  <c r="Q30" i="13" s="1"/>
  <c r="P10" i="13"/>
  <c r="Q10" i="13" s="1"/>
  <c r="P7" i="13"/>
  <c r="Q7" i="13" s="1"/>
  <c r="P17" i="19"/>
  <c r="Q17" i="19" s="1"/>
  <c r="P12" i="19"/>
  <c r="Q12" i="19" s="1"/>
  <c r="P27" i="19"/>
  <c r="Q27" i="19" s="1"/>
  <c r="P26" i="19"/>
  <c r="Q26" i="19" s="1"/>
  <c r="P61" i="19"/>
  <c r="Q61" i="19" s="1"/>
  <c r="L28" i="13"/>
  <c r="M28" i="13" s="1"/>
  <c r="P74" i="21"/>
  <c r="Q74" i="21" s="1"/>
  <c r="P17" i="13"/>
  <c r="Q17" i="13" s="1"/>
  <c r="P15" i="13"/>
  <c r="Q15" i="13" s="1"/>
  <c r="L17" i="13"/>
  <c r="M17" i="13" s="1"/>
  <c r="L15" i="13"/>
  <c r="M15" i="13" s="1"/>
  <c r="P6" i="18"/>
  <c r="Q6" i="18" s="1"/>
  <c r="P28" i="13"/>
  <c r="Q28" i="13" s="1"/>
  <c r="P34" i="13"/>
  <c r="Q34" i="13" s="1"/>
  <c r="L34" i="13"/>
  <c r="M34" i="13" s="1"/>
  <c r="L33" i="13"/>
  <c r="M33" i="13" s="1"/>
  <c r="P32" i="13"/>
  <c r="Q32" i="13" s="1"/>
  <c r="L32" i="13"/>
  <c r="M32" i="13" s="1"/>
  <c r="P29" i="13"/>
  <c r="Q29" i="13" s="1"/>
  <c r="L29" i="13"/>
  <c r="M29" i="13" s="1"/>
  <c r="P27" i="13"/>
  <c r="Q27" i="13" s="1"/>
  <c r="L27" i="13"/>
  <c r="M27" i="13" s="1"/>
  <c r="P26" i="13"/>
  <c r="Q26" i="13" s="1"/>
  <c r="L26" i="13"/>
  <c r="M26" i="13" s="1"/>
  <c r="L12" i="13"/>
  <c r="M12" i="13" s="1"/>
  <c r="L8" i="13"/>
  <c r="M8" i="13" s="1"/>
  <c r="L3" i="13"/>
  <c r="M3" i="13" s="1"/>
  <c r="L4" i="13"/>
  <c r="M4" i="13" s="1"/>
  <c r="T4" i="13" s="1"/>
  <c r="P11" i="13"/>
  <c r="Q11" i="13" s="1"/>
  <c r="L11" i="13"/>
  <c r="M11" i="13" s="1"/>
  <c r="P9" i="13"/>
  <c r="Q9" i="13" s="1"/>
  <c r="L9" i="13"/>
  <c r="M9" i="13" s="1"/>
  <c r="L35" i="19"/>
  <c r="M35" i="19" s="1"/>
  <c r="L33" i="19"/>
  <c r="M33" i="19" s="1"/>
  <c r="O60" i="19"/>
  <c r="P60" i="19" s="1"/>
  <c r="Q60" i="19" s="1"/>
  <c r="L60" i="19"/>
  <c r="M60" i="19" s="1"/>
  <c r="P25" i="13"/>
  <c r="Q25" i="13" s="1"/>
  <c r="L19" i="19"/>
  <c r="M19" i="19" s="1"/>
  <c r="L46" i="19"/>
  <c r="M46" i="19" s="1"/>
  <c r="L45" i="19"/>
  <c r="M45" i="19" s="1"/>
  <c r="L30" i="19"/>
  <c r="M30" i="19" s="1"/>
  <c r="L28" i="19"/>
  <c r="M28" i="19" s="1"/>
  <c r="L22" i="19"/>
  <c r="M22" i="19" s="1"/>
  <c r="L23" i="19"/>
  <c r="M23" i="19" s="1"/>
  <c r="L24" i="19"/>
  <c r="M24" i="19" s="1"/>
  <c r="M25" i="19"/>
  <c r="L26" i="19"/>
  <c r="M26" i="19" s="1"/>
  <c r="L27" i="19"/>
  <c r="M27" i="19" s="1"/>
  <c r="T27" i="19" s="1"/>
  <c r="L21" i="19"/>
  <c r="M21" i="19" s="1"/>
  <c r="L15" i="19"/>
  <c r="M15" i="19" s="1"/>
  <c r="L20" i="19"/>
  <c r="M20" i="19" s="1"/>
  <c r="L48" i="19"/>
  <c r="M48" i="19" s="1"/>
  <c r="L54" i="19"/>
  <c r="M54" i="19" s="1"/>
  <c r="L20" i="13"/>
  <c r="M20" i="13" s="1"/>
  <c r="L29" i="19"/>
  <c r="M29" i="19" s="1"/>
  <c r="L5" i="19"/>
  <c r="M5" i="19" s="1"/>
  <c r="P58" i="19"/>
  <c r="Q58" i="19" s="1"/>
  <c r="Q57" i="19"/>
  <c r="P54" i="19"/>
  <c r="Q54" i="19" s="1"/>
  <c r="P46" i="19"/>
  <c r="Q46" i="19" s="1"/>
  <c r="P45" i="19"/>
  <c r="Q45" i="19" s="1"/>
  <c r="P43" i="19"/>
  <c r="Q43" i="19" s="1"/>
  <c r="L40" i="19"/>
  <c r="M40" i="19" s="1"/>
  <c r="P33" i="19"/>
  <c r="Q33" i="19" s="1"/>
  <c r="P30" i="19"/>
  <c r="Q30" i="19" s="1"/>
  <c r="Q28" i="19"/>
  <c r="P16" i="19"/>
  <c r="Q16" i="19" s="1"/>
  <c r="P15" i="19"/>
  <c r="Q15" i="19" s="1"/>
  <c r="P13" i="19"/>
  <c r="Q13" i="19" s="1"/>
  <c r="L4" i="19"/>
  <c r="M4" i="19" s="1"/>
  <c r="T4" i="19" s="1"/>
  <c r="L13" i="19"/>
  <c r="M13" i="19" s="1"/>
  <c r="L47" i="19"/>
  <c r="M47" i="19" s="1"/>
  <c r="L42" i="19"/>
  <c r="M42" i="19" s="1"/>
  <c r="L11" i="19"/>
  <c r="M11" i="19" s="1"/>
  <c r="L3" i="19"/>
  <c r="M3" i="19" s="1"/>
  <c r="O7" i="18"/>
  <c r="P7" i="18" s="1"/>
  <c r="Q7" i="18" s="1"/>
  <c r="H7" i="18"/>
  <c r="I7" i="18" s="1"/>
  <c r="P39" i="21"/>
  <c r="Q39" i="21" s="1"/>
  <c r="L39" i="21"/>
  <c r="M39" i="21" s="1"/>
  <c r="H45" i="25"/>
  <c r="I45" i="25" s="1"/>
  <c r="H44" i="25"/>
  <c r="I44" i="25" s="1"/>
  <c r="H43" i="25"/>
  <c r="I43" i="25" s="1"/>
  <c r="H42" i="25"/>
  <c r="I42" i="25" s="1"/>
  <c r="H41" i="25"/>
  <c r="I41" i="25" s="1"/>
  <c r="H40" i="25"/>
  <c r="I40" i="25" s="1"/>
  <c r="H39" i="25"/>
  <c r="I39" i="25" s="1"/>
  <c r="H38" i="25"/>
  <c r="I38" i="25" s="1"/>
  <c r="H37" i="25"/>
  <c r="I37" i="25" s="1"/>
  <c r="H36" i="25"/>
  <c r="I36" i="25" s="1"/>
  <c r="H35" i="25"/>
  <c r="I35" i="25" s="1"/>
  <c r="H34" i="25"/>
  <c r="I34" i="25" s="1"/>
  <c r="H33" i="25"/>
  <c r="I33" i="25" s="1"/>
  <c r="H32" i="25"/>
  <c r="I32" i="25" s="1"/>
  <c r="H31" i="25"/>
  <c r="I31" i="25" s="1"/>
  <c r="H30" i="25"/>
  <c r="I30" i="25" s="1"/>
  <c r="H29" i="25"/>
  <c r="I29" i="25" s="1"/>
  <c r="H28" i="25"/>
  <c r="I28" i="25" s="1"/>
  <c r="H27" i="25"/>
  <c r="I27" i="25" s="1"/>
  <c r="P14" i="13"/>
  <c r="Q14" i="13" s="1"/>
  <c r="L14" i="13"/>
  <c r="M14" i="13" s="1"/>
  <c r="P51" i="19"/>
  <c r="Q51" i="19" s="1"/>
  <c r="P50" i="19"/>
  <c r="Q50" i="19" s="1"/>
  <c r="L50" i="19"/>
  <c r="M50" i="19" s="1"/>
  <c r="L86" i="21"/>
  <c r="M86" i="21" s="1"/>
  <c r="P23" i="19"/>
  <c r="Q23" i="19" s="1"/>
  <c r="L16" i="19"/>
  <c r="M16" i="19" s="1"/>
  <c r="H9" i="24"/>
  <c r="I9" i="24" s="1"/>
  <c r="H8" i="24"/>
  <c r="I8" i="24" s="1"/>
  <c r="H7" i="24"/>
  <c r="I7" i="24" s="1"/>
  <c r="H6" i="24"/>
  <c r="I6" i="24" s="1"/>
  <c r="H25" i="24"/>
  <c r="I25" i="24" s="1"/>
  <c r="H24" i="24"/>
  <c r="I24" i="24" s="1"/>
  <c r="H23" i="24"/>
  <c r="I23" i="24" s="1"/>
  <c r="H22" i="24"/>
  <c r="I22" i="24" s="1"/>
  <c r="H21" i="24"/>
  <c r="I21" i="24" s="1"/>
  <c r="H20" i="24"/>
  <c r="I20" i="24" s="1"/>
  <c r="H19" i="24"/>
  <c r="I19" i="24" s="1"/>
  <c r="H18" i="24"/>
  <c r="I18" i="24" s="1"/>
  <c r="H16" i="26"/>
  <c r="I16" i="26" s="1"/>
  <c r="H15" i="26"/>
  <c r="I15" i="26" s="1"/>
  <c r="H14" i="26"/>
  <c r="I14" i="26" s="1"/>
  <c r="H13" i="26"/>
  <c r="I13" i="26" s="1"/>
  <c r="H12" i="26"/>
  <c r="I12" i="26" s="1"/>
  <c r="H11" i="26"/>
  <c r="I11" i="26" s="1"/>
  <c r="H10" i="26"/>
  <c r="I10" i="26" s="1"/>
  <c r="H20" i="26"/>
  <c r="I20" i="26" s="1"/>
  <c r="H19" i="26"/>
  <c r="I19" i="26" s="1"/>
  <c r="H18" i="26"/>
  <c r="I18" i="26" s="1"/>
  <c r="H17" i="26"/>
  <c r="I17" i="26" s="1"/>
  <c r="H9" i="26"/>
  <c r="I9" i="26" s="1"/>
  <c r="H8" i="26"/>
  <c r="I8" i="26" s="1"/>
  <c r="H7" i="26"/>
  <c r="I7" i="26" s="1"/>
  <c r="H6" i="26"/>
  <c r="I6" i="26" s="1"/>
  <c r="H43" i="26"/>
  <c r="I43" i="26" s="1"/>
  <c r="H42" i="26"/>
  <c r="I42" i="26" s="1"/>
  <c r="H41" i="26"/>
  <c r="I41" i="26" s="1"/>
  <c r="H40" i="26"/>
  <c r="I40" i="26" s="1"/>
  <c r="H39" i="26"/>
  <c r="I39" i="26" s="1"/>
  <c r="H38" i="26"/>
  <c r="I38" i="26" s="1"/>
  <c r="H37" i="26"/>
  <c r="I37" i="26" s="1"/>
  <c r="H36" i="26"/>
  <c r="I36" i="26" s="1"/>
  <c r="H35" i="26"/>
  <c r="I35" i="26" s="1"/>
  <c r="H34" i="26"/>
  <c r="I34" i="26" s="1"/>
  <c r="H33" i="26"/>
  <c r="I33" i="26" s="1"/>
  <c r="H32" i="26"/>
  <c r="I32" i="26" s="1"/>
  <c r="H31" i="26"/>
  <c r="I31" i="26" s="1"/>
  <c r="H30" i="26"/>
  <c r="I30" i="26" s="1"/>
  <c r="H29" i="26"/>
  <c r="I29" i="26" s="1"/>
  <c r="H28" i="26"/>
  <c r="I28" i="26" s="1"/>
  <c r="Q19" i="13"/>
  <c r="M19" i="13"/>
  <c r="Q25" i="19"/>
  <c r="M23" i="13"/>
  <c r="P38" i="19"/>
  <c r="Q38" i="19" s="1"/>
  <c r="L38" i="19"/>
  <c r="M38" i="19" s="1"/>
  <c r="P37" i="19"/>
  <c r="Q37" i="19" s="1"/>
  <c r="L37" i="19"/>
  <c r="M37" i="19" s="1"/>
  <c r="L51" i="19"/>
  <c r="M51" i="19" s="1"/>
  <c r="P36" i="19"/>
  <c r="Q36" i="19" s="1"/>
  <c r="L36" i="19"/>
  <c r="M36" i="19" s="1"/>
  <c r="P34" i="19"/>
  <c r="Q34" i="19" s="1"/>
  <c r="L34" i="19"/>
  <c r="M34" i="19" s="1"/>
  <c r="L43" i="19"/>
  <c r="M43" i="19" s="1"/>
  <c r="P31" i="19"/>
  <c r="Q31" i="19" s="1"/>
  <c r="L31" i="19"/>
  <c r="M31" i="19" s="1"/>
  <c r="P24" i="19"/>
  <c r="Q24" i="19" s="1"/>
  <c r="T24" i="19" s="1"/>
  <c r="P22" i="19"/>
  <c r="Q22" i="19" s="1"/>
  <c r="L13" i="24"/>
  <c r="M13" i="24" s="1"/>
  <c r="T13" i="24" s="1"/>
  <c r="L23" i="25"/>
  <c r="M23" i="25" s="1"/>
  <c r="T23" i="25" s="1"/>
  <c r="L4" i="26"/>
  <c r="M4" i="26" s="1"/>
  <c r="P39" i="19"/>
  <c r="Q39" i="19" s="1"/>
  <c r="L39" i="19"/>
  <c r="M39" i="19" s="1"/>
  <c r="L3" i="18"/>
  <c r="M3" i="18" s="1"/>
  <c r="L4" i="18"/>
  <c r="M4" i="18" s="1"/>
  <c r="T4" i="18" s="1"/>
  <c r="L5" i="18"/>
  <c r="M5" i="18" s="1"/>
  <c r="T5" i="18" s="1"/>
  <c r="L6" i="18"/>
  <c r="M6" i="18" s="1"/>
  <c r="L7" i="18"/>
  <c r="M7" i="18" s="1"/>
  <c r="L8" i="18"/>
  <c r="M8" i="18" s="1"/>
  <c r="T8" i="18" s="1"/>
  <c r="L9" i="18"/>
  <c r="M9" i="18" s="1"/>
  <c r="L10" i="18"/>
  <c r="M10" i="18" s="1"/>
  <c r="T10" i="18" s="1"/>
  <c r="L11" i="18"/>
  <c r="M11" i="18" s="1"/>
  <c r="T11" i="18" s="1"/>
  <c r="L24" i="13"/>
  <c r="M24" i="13" s="1"/>
  <c r="L2" i="26"/>
  <c r="M2" i="26" s="1"/>
  <c r="L9" i="25"/>
  <c r="M9" i="25" s="1"/>
  <c r="P6" i="26"/>
  <c r="Q6" i="26" s="1"/>
  <c r="S6" i="26" s="1"/>
  <c r="P7" i="26"/>
  <c r="Q7" i="26" s="1"/>
  <c r="S7" i="26" s="1"/>
  <c r="P8" i="26"/>
  <c r="Q8" i="26" s="1"/>
  <c r="S8" i="26" s="1"/>
  <c r="P9" i="26"/>
  <c r="Q9" i="26" s="1"/>
  <c r="S9" i="26" s="1"/>
  <c r="P10" i="26"/>
  <c r="Q10" i="26" s="1"/>
  <c r="S10" i="26" s="1"/>
  <c r="P11" i="26"/>
  <c r="Q11" i="26" s="1"/>
  <c r="S11" i="26" s="1"/>
  <c r="P12" i="26"/>
  <c r="Q12" i="26" s="1"/>
  <c r="S12" i="26" s="1"/>
  <c r="P13" i="26"/>
  <c r="Q13" i="26" s="1"/>
  <c r="S13" i="26" s="1"/>
  <c r="P14" i="26"/>
  <c r="Q14" i="26" s="1"/>
  <c r="P15" i="26"/>
  <c r="Q15" i="26" s="1"/>
  <c r="P5" i="26"/>
  <c r="Q5" i="26" s="1"/>
  <c r="H5" i="26"/>
  <c r="I5" i="26" s="1"/>
  <c r="P4" i="26"/>
  <c r="Q4" i="26" s="1"/>
  <c r="H4" i="26"/>
  <c r="I4" i="26" s="1"/>
  <c r="T3" i="26"/>
  <c r="H3" i="26"/>
  <c r="I3" i="26" s="1"/>
  <c r="H2" i="26"/>
  <c r="I2" i="26" s="1"/>
  <c r="H2" i="21"/>
  <c r="I2" i="21" s="1"/>
  <c r="L75" i="21"/>
  <c r="M75" i="21" s="1"/>
  <c r="T75" i="21" s="1"/>
  <c r="L74" i="21"/>
  <c r="M74" i="21" s="1"/>
  <c r="L66" i="21"/>
  <c r="M66" i="21" s="1"/>
  <c r="T66" i="21" s="1"/>
  <c r="L65" i="21"/>
  <c r="M65" i="21" s="1"/>
  <c r="T65" i="21" s="1"/>
  <c r="L63" i="21"/>
  <c r="L61" i="21"/>
  <c r="M61" i="21" s="1"/>
  <c r="T61" i="21" s="1"/>
  <c r="L60" i="21"/>
  <c r="M60" i="21" s="1"/>
  <c r="L54" i="21"/>
  <c r="M54" i="21" s="1"/>
  <c r="T54" i="21" s="1"/>
  <c r="L53" i="21"/>
  <c r="M53" i="21" s="1"/>
  <c r="L45" i="21"/>
  <c r="M45" i="21" s="1"/>
  <c r="L44" i="21"/>
  <c r="M44" i="21" s="1"/>
  <c r="L33" i="21"/>
  <c r="M33" i="21" s="1"/>
  <c r="L32" i="21"/>
  <c r="L20" i="21"/>
  <c r="L19" i="21"/>
  <c r="M19" i="21" s="1"/>
  <c r="L16" i="21"/>
  <c r="M16" i="21" s="1"/>
  <c r="L15" i="21"/>
  <c r="M15" i="21" s="1"/>
  <c r="L14" i="21"/>
  <c r="O4" i="11"/>
  <c r="P4" i="11" s="1"/>
  <c r="Q4" i="11" s="1"/>
  <c r="P22" i="25"/>
  <c r="Q22" i="25" s="1"/>
  <c r="T22" i="25" s="1"/>
  <c r="P21" i="25"/>
  <c r="Q21" i="25" s="1"/>
  <c r="T21" i="25" s="1"/>
  <c r="P20" i="25"/>
  <c r="Q20" i="25" s="1"/>
  <c r="T20" i="25" s="1"/>
  <c r="P19" i="25"/>
  <c r="Q19" i="25" s="1"/>
  <c r="T19" i="25" s="1"/>
  <c r="P18" i="25"/>
  <c r="Q18" i="25" s="1"/>
  <c r="T18" i="25" s="1"/>
  <c r="P17" i="25"/>
  <c r="Q17" i="25" s="1"/>
  <c r="T17" i="25" s="1"/>
  <c r="P16" i="25"/>
  <c r="Q16" i="25" s="1"/>
  <c r="T16" i="25" s="1"/>
  <c r="P15" i="25"/>
  <c r="Q15" i="25" s="1"/>
  <c r="T15" i="25" s="1"/>
  <c r="P14" i="25"/>
  <c r="Q14" i="25" s="1"/>
  <c r="T14" i="25" s="1"/>
  <c r="P13" i="25"/>
  <c r="Q13" i="25" s="1"/>
  <c r="T13" i="25" s="1"/>
  <c r="P12" i="25"/>
  <c r="Q12" i="25" s="1"/>
  <c r="T12" i="25" s="1"/>
  <c r="P11" i="25"/>
  <c r="Q11" i="25" s="1"/>
  <c r="T11" i="25" s="1"/>
  <c r="P10" i="25"/>
  <c r="Q10" i="25" s="1"/>
  <c r="T10" i="25" s="1"/>
  <c r="P8" i="25"/>
  <c r="Q8" i="25" s="1"/>
  <c r="T8" i="25" s="1"/>
  <c r="P7" i="25"/>
  <c r="Q7" i="25" s="1"/>
  <c r="T7" i="25" s="1"/>
  <c r="T6" i="25"/>
  <c r="P2" i="25"/>
  <c r="Q2" i="25" s="1"/>
  <c r="H13" i="24"/>
  <c r="I13" i="24" s="1"/>
  <c r="S13" i="24" s="1"/>
  <c r="P12" i="24"/>
  <c r="Q12" i="24" s="1"/>
  <c r="H12" i="24"/>
  <c r="I12" i="24" s="1"/>
  <c r="P11" i="24"/>
  <c r="Q11" i="24" s="1"/>
  <c r="H11" i="24"/>
  <c r="I11" i="24" s="1"/>
  <c r="P10" i="24"/>
  <c r="Q10" i="24" s="1"/>
  <c r="H10" i="24"/>
  <c r="I10" i="24" s="1"/>
  <c r="P5" i="24"/>
  <c r="Q5" i="24" s="1"/>
  <c r="H5" i="24"/>
  <c r="I5" i="24" s="1"/>
  <c r="P4" i="24"/>
  <c r="Q4" i="24" s="1"/>
  <c r="H4" i="24"/>
  <c r="I4" i="24" s="1"/>
  <c r="P3" i="24"/>
  <c r="Q3" i="24" s="1"/>
  <c r="S3" i="24" s="1"/>
  <c r="H3" i="24"/>
  <c r="I3" i="24" s="1"/>
  <c r="H2" i="24"/>
  <c r="I2" i="24" s="1"/>
  <c r="P3" i="23"/>
  <c r="Q3" i="23" s="1"/>
  <c r="H3" i="23"/>
  <c r="I3" i="23" s="1"/>
  <c r="H2" i="23"/>
  <c r="I2" i="23" s="1"/>
  <c r="M76" i="21"/>
  <c r="T76" i="21" s="1"/>
  <c r="T49" i="19"/>
  <c r="P41" i="19"/>
  <c r="Q41" i="19" s="1"/>
  <c r="L41" i="19"/>
  <c r="M41" i="19" s="1"/>
  <c r="L18" i="21"/>
  <c r="M18" i="21" s="1"/>
  <c r="T18" i="21" s="1"/>
  <c r="G18" i="21"/>
  <c r="H18" i="21" s="1"/>
  <c r="I18" i="21" s="1"/>
  <c r="S18" i="21" s="1"/>
  <c r="L69" i="21"/>
  <c r="M69" i="21" s="1"/>
  <c r="T69" i="21" s="1"/>
  <c r="L67" i="21"/>
  <c r="M67" i="21" s="1"/>
  <c r="T67" i="21" s="1"/>
  <c r="H3" i="21"/>
  <c r="I3" i="21" s="1"/>
  <c r="S3" i="21" s="1"/>
  <c r="H4" i="21"/>
  <c r="I4" i="21" s="1"/>
  <c r="S4" i="21" s="1"/>
  <c r="H5" i="21"/>
  <c r="I5" i="21" s="1"/>
  <c r="S5" i="21" s="1"/>
  <c r="H6" i="21"/>
  <c r="I6" i="21" s="1"/>
  <c r="S6" i="21" s="1"/>
  <c r="H7" i="21"/>
  <c r="I7" i="21" s="1"/>
  <c r="S7" i="21" s="1"/>
  <c r="H8" i="21"/>
  <c r="I8" i="21" s="1"/>
  <c r="S8" i="21" s="1"/>
  <c r="H9" i="21"/>
  <c r="I9" i="21" s="1"/>
  <c r="H10" i="21"/>
  <c r="I10" i="21" s="1"/>
  <c r="S10" i="21" s="1"/>
  <c r="H11" i="21"/>
  <c r="I11" i="21" s="1"/>
  <c r="H12" i="21"/>
  <c r="I12" i="21" s="1"/>
  <c r="S12" i="21" s="1"/>
  <c r="H13" i="21"/>
  <c r="I13" i="21" s="1"/>
  <c r="S13" i="21" s="1"/>
  <c r="H14" i="21"/>
  <c r="I14" i="21" s="1"/>
  <c r="S14" i="21" s="1"/>
  <c r="H15" i="21"/>
  <c r="I15" i="21" s="1"/>
  <c r="H16" i="21"/>
  <c r="I16" i="21" s="1"/>
  <c r="H19" i="21"/>
  <c r="I19" i="21" s="1"/>
  <c r="H20" i="21"/>
  <c r="I20" i="21" s="1"/>
  <c r="S20" i="21" s="1"/>
  <c r="H21" i="21"/>
  <c r="I21" i="21" s="1"/>
  <c r="S21" i="21" s="1"/>
  <c r="H22" i="21"/>
  <c r="I22" i="21" s="1"/>
  <c r="S22" i="21" s="1"/>
  <c r="H23" i="21"/>
  <c r="I23" i="21" s="1"/>
  <c r="S23" i="21" s="1"/>
  <c r="H24" i="21"/>
  <c r="I24" i="21" s="1"/>
  <c r="S24" i="21" s="1"/>
  <c r="H25" i="21"/>
  <c r="I25" i="21" s="1"/>
  <c r="S25" i="21" s="1"/>
  <c r="H28" i="21"/>
  <c r="I28" i="21" s="1"/>
  <c r="H29" i="21"/>
  <c r="I29" i="21" s="1"/>
  <c r="S29" i="21" s="1"/>
  <c r="H30" i="21"/>
  <c r="I30" i="21" s="1"/>
  <c r="S30" i="21" s="1"/>
  <c r="H31" i="21"/>
  <c r="I31" i="21" s="1"/>
  <c r="S31" i="21" s="1"/>
  <c r="H32" i="21"/>
  <c r="I32" i="21" s="1"/>
  <c r="S32" i="21" s="1"/>
  <c r="H33" i="21"/>
  <c r="I33" i="21" s="1"/>
  <c r="H38" i="21"/>
  <c r="I38" i="21" s="1"/>
  <c r="S38" i="21" s="1"/>
  <c r="H37" i="21"/>
  <c r="I37" i="21" s="1"/>
  <c r="S37" i="21" s="1"/>
  <c r="H39" i="21"/>
  <c r="I39" i="21" s="1"/>
  <c r="H40" i="21"/>
  <c r="I40" i="21" s="1"/>
  <c r="S40" i="21" s="1"/>
  <c r="H41" i="21"/>
  <c r="I41" i="21" s="1"/>
  <c r="H42" i="21"/>
  <c r="I42" i="21" s="1"/>
  <c r="H43" i="21"/>
  <c r="I43" i="21" s="1"/>
  <c r="H34" i="21"/>
  <c r="I34" i="21" s="1"/>
  <c r="S34" i="21" s="1"/>
  <c r="H35" i="21"/>
  <c r="I35" i="21" s="1"/>
  <c r="S35" i="21" s="1"/>
  <c r="H36" i="21"/>
  <c r="I36" i="21" s="1"/>
  <c r="S36" i="21" s="1"/>
  <c r="H44" i="21"/>
  <c r="I44" i="21" s="1"/>
  <c r="H45" i="21"/>
  <c r="I45" i="21" s="1"/>
  <c r="H46" i="21"/>
  <c r="I46" i="21" s="1"/>
  <c r="S46" i="21" s="1"/>
  <c r="H47" i="21"/>
  <c r="I47" i="21" s="1"/>
  <c r="S47" i="21" s="1"/>
  <c r="H48" i="21"/>
  <c r="I48" i="21" s="1"/>
  <c r="S48" i="21" s="1"/>
  <c r="H49" i="21"/>
  <c r="I49" i="21" s="1"/>
  <c r="S49" i="21" s="1"/>
  <c r="H50" i="21"/>
  <c r="I50" i="21" s="1"/>
  <c r="S50" i="21" s="1"/>
  <c r="H51" i="21"/>
  <c r="I51" i="21" s="1"/>
  <c r="S51" i="21" s="1"/>
  <c r="H52" i="21"/>
  <c r="I52" i="21" s="1"/>
  <c r="S52" i="21" s="1"/>
  <c r="H53" i="21"/>
  <c r="I53" i="21" s="1"/>
  <c r="H54" i="21"/>
  <c r="I54" i="21" s="1"/>
  <c r="S54" i="21" s="1"/>
  <c r="H55" i="21"/>
  <c r="I55" i="21" s="1"/>
  <c r="S55" i="21" s="1"/>
  <c r="H56" i="21"/>
  <c r="I56" i="21" s="1"/>
  <c r="S56" i="21" s="1"/>
  <c r="H57" i="21"/>
  <c r="I57" i="21" s="1"/>
  <c r="H58" i="21"/>
  <c r="I58" i="21" s="1"/>
  <c r="S58" i="21" s="1"/>
  <c r="H59" i="21"/>
  <c r="I59" i="21" s="1"/>
  <c r="S59" i="21" s="1"/>
  <c r="H60" i="21"/>
  <c r="I60" i="21" s="1"/>
  <c r="H61" i="21"/>
  <c r="I61" i="21" s="1"/>
  <c r="S61" i="21" s="1"/>
  <c r="H62" i="21"/>
  <c r="I62" i="21" s="1"/>
  <c r="S62" i="21" s="1"/>
  <c r="H63" i="21"/>
  <c r="I63" i="21" s="1"/>
  <c r="S63" i="21" s="1"/>
  <c r="H64" i="21"/>
  <c r="I64" i="21" s="1"/>
  <c r="S64" i="21" s="1"/>
  <c r="H65" i="21"/>
  <c r="I65" i="21" s="1"/>
  <c r="H66" i="21"/>
  <c r="I66" i="21" s="1"/>
  <c r="H67" i="21"/>
  <c r="I67" i="21" s="1"/>
  <c r="S67" i="21" s="1"/>
  <c r="H68" i="21"/>
  <c r="I68" i="21" s="1"/>
  <c r="H69" i="21"/>
  <c r="I69" i="21" s="1"/>
  <c r="S69" i="21" s="1"/>
  <c r="H70" i="21"/>
  <c r="I70" i="21" s="1"/>
  <c r="S70" i="21" s="1"/>
  <c r="H71" i="21"/>
  <c r="I71" i="21" s="1"/>
  <c r="S71" i="21" s="1"/>
  <c r="H73" i="21"/>
  <c r="I73" i="21" s="1"/>
  <c r="S73" i="21" s="1"/>
  <c r="H74" i="21"/>
  <c r="I74" i="21" s="1"/>
  <c r="H75" i="21"/>
  <c r="I75" i="21" s="1"/>
  <c r="S75" i="21" s="1"/>
  <c r="H76" i="21"/>
  <c r="I76" i="21" s="1"/>
  <c r="S76" i="21" s="1"/>
  <c r="H77" i="21"/>
  <c r="I77" i="21" s="1"/>
  <c r="S77" i="21" s="1"/>
  <c r="H78" i="21"/>
  <c r="I78" i="21" s="1"/>
  <c r="H79" i="21"/>
  <c r="I79" i="21" s="1"/>
  <c r="S79" i="21" s="1"/>
  <c r="H80" i="21"/>
  <c r="I80" i="21" s="1"/>
  <c r="H81" i="21"/>
  <c r="I81" i="21" s="1"/>
  <c r="H82" i="21"/>
  <c r="I82" i="21" s="1"/>
  <c r="S82" i="21" s="1"/>
  <c r="H83" i="21"/>
  <c r="I83" i="21" s="1"/>
  <c r="S83" i="21" s="1"/>
  <c r="H84" i="21"/>
  <c r="I84" i="21" s="1"/>
  <c r="S84" i="21" s="1"/>
  <c r="H85" i="21"/>
  <c r="I85" i="21" s="1"/>
  <c r="S85" i="21" s="1"/>
  <c r="H86" i="21"/>
  <c r="I86" i="21" s="1"/>
  <c r="G17" i="21"/>
  <c r="H17" i="21" s="1"/>
  <c r="I17" i="21" s="1"/>
  <c r="S17" i="21" s="1"/>
  <c r="L6" i="21"/>
  <c r="M6" i="21" s="1"/>
  <c r="T6" i="21" s="1"/>
  <c r="L17" i="21"/>
  <c r="M17" i="21" s="1"/>
  <c r="T17" i="21" s="1"/>
  <c r="L13" i="21"/>
  <c r="M13" i="21" s="1"/>
  <c r="T13" i="21" s="1"/>
  <c r="L84" i="21"/>
  <c r="M84" i="21" s="1"/>
  <c r="T84" i="21" s="1"/>
  <c r="L38" i="21"/>
  <c r="M38" i="21" s="1"/>
  <c r="T38" i="21" s="1"/>
  <c r="L51" i="21"/>
  <c r="M51" i="21" s="1"/>
  <c r="T51" i="21" s="1"/>
  <c r="L85" i="21"/>
  <c r="M85" i="21" s="1"/>
  <c r="T85" i="21" s="1"/>
  <c r="L52" i="21"/>
  <c r="M52" i="21" s="1"/>
  <c r="T52" i="21" s="1"/>
  <c r="L50" i="21"/>
  <c r="M50" i="21" s="1"/>
  <c r="T50" i="21" s="1"/>
  <c r="L49" i="21"/>
  <c r="M49" i="21" s="1"/>
  <c r="T49" i="21" s="1"/>
  <c r="L48" i="21"/>
  <c r="M48" i="21" s="1"/>
  <c r="T48" i="21" s="1"/>
  <c r="L12" i="21"/>
  <c r="M12" i="21" s="1"/>
  <c r="T12" i="21" s="1"/>
  <c r="L83" i="21"/>
  <c r="M83" i="21" s="1"/>
  <c r="T83" i="21" s="1"/>
  <c r="L82" i="21"/>
  <c r="M82" i="21" s="1"/>
  <c r="T82" i="21" s="1"/>
  <c r="L81" i="21"/>
  <c r="M81" i="21" s="1"/>
  <c r="T81" i="21" s="1"/>
  <c r="L77" i="21"/>
  <c r="M77" i="21" s="1"/>
  <c r="T77" i="21" s="1"/>
  <c r="L79" i="21"/>
  <c r="M79" i="21" s="1"/>
  <c r="T79" i="21" s="1"/>
  <c r="L80" i="21"/>
  <c r="M80" i="21" s="1"/>
  <c r="L78" i="21"/>
  <c r="M78" i="21" s="1"/>
  <c r="L73" i="21"/>
  <c r="M73" i="21" s="1"/>
  <c r="T73" i="21" s="1"/>
  <c r="L71" i="21"/>
  <c r="M71" i="21" s="1"/>
  <c r="T71" i="21" s="1"/>
  <c r="L70" i="21"/>
  <c r="M70" i="21" s="1"/>
  <c r="T70" i="21" s="1"/>
  <c r="L68" i="21"/>
  <c r="M68" i="21" s="1"/>
  <c r="T68" i="21" s="1"/>
  <c r="L64" i="21"/>
  <c r="M64" i="21" s="1"/>
  <c r="T64" i="21" s="1"/>
  <c r="L62" i="21"/>
  <c r="M62" i="21" s="1"/>
  <c r="T62" i="21" s="1"/>
  <c r="L59" i="21"/>
  <c r="M59" i="21" s="1"/>
  <c r="T59" i="21" s="1"/>
  <c r="L58" i="21"/>
  <c r="M58" i="21" s="1"/>
  <c r="T58" i="21" s="1"/>
  <c r="L56" i="21"/>
  <c r="M56" i="21" s="1"/>
  <c r="T56" i="21" s="1"/>
  <c r="L55" i="21"/>
  <c r="M55" i="21" s="1"/>
  <c r="T55" i="21" s="1"/>
  <c r="L47" i="21"/>
  <c r="M47" i="21" s="1"/>
  <c r="T47" i="21" s="1"/>
  <c r="L46" i="21"/>
  <c r="M46" i="21" s="1"/>
  <c r="T46" i="21" s="1"/>
  <c r="L36" i="21"/>
  <c r="M36" i="21" s="1"/>
  <c r="T36" i="21" s="1"/>
  <c r="L35" i="21"/>
  <c r="M35" i="21" s="1"/>
  <c r="T35" i="21" s="1"/>
  <c r="L34" i="21"/>
  <c r="M34" i="21" s="1"/>
  <c r="T34" i="21" s="1"/>
  <c r="L41" i="21"/>
  <c r="M41" i="21" s="1"/>
  <c r="L40" i="21"/>
  <c r="M40" i="21" s="1"/>
  <c r="T40" i="21" s="1"/>
  <c r="L37" i="21"/>
  <c r="M37" i="21" s="1"/>
  <c r="T37" i="21" s="1"/>
  <c r="L31" i="21"/>
  <c r="M31" i="21" s="1"/>
  <c r="T31" i="21" s="1"/>
  <c r="L30" i="21"/>
  <c r="M30" i="21" s="1"/>
  <c r="T30" i="21" s="1"/>
  <c r="L29" i="21"/>
  <c r="M29" i="21" s="1"/>
  <c r="T29" i="21" s="1"/>
  <c r="L28" i="21"/>
  <c r="M28" i="21" s="1"/>
  <c r="L27" i="21"/>
  <c r="M27" i="21" s="1"/>
  <c r="T27" i="21" s="1"/>
  <c r="L25" i="21"/>
  <c r="M25" i="21" s="1"/>
  <c r="T25" i="21" s="1"/>
  <c r="L24" i="21"/>
  <c r="M24" i="21" s="1"/>
  <c r="T24" i="21" s="1"/>
  <c r="L23" i="21"/>
  <c r="M23" i="21" s="1"/>
  <c r="T23" i="21" s="1"/>
  <c r="L22" i="21"/>
  <c r="M22" i="21" s="1"/>
  <c r="T22" i="21" s="1"/>
  <c r="L21" i="21"/>
  <c r="M21" i="21" s="1"/>
  <c r="T21" i="21" s="1"/>
  <c r="M4" i="21"/>
  <c r="T4" i="21" s="1"/>
  <c r="L11" i="21"/>
  <c r="M11" i="21" s="1"/>
  <c r="L10" i="21"/>
  <c r="M10" i="21" s="1"/>
  <c r="T10" i="21" s="1"/>
  <c r="L5" i="21"/>
  <c r="M5" i="21" s="1"/>
  <c r="T5" i="21" s="1"/>
  <c r="L8" i="21"/>
  <c r="M8" i="21" s="1"/>
  <c r="T8" i="21" s="1"/>
  <c r="L7" i="21"/>
  <c r="M7" i="21" s="1"/>
  <c r="T7" i="21" s="1"/>
  <c r="L3" i="21"/>
  <c r="M3" i="21" s="1"/>
  <c r="T3" i="21" s="1"/>
  <c r="L58" i="19"/>
  <c r="M58" i="19" s="1"/>
  <c r="L56" i="19"/>
  <c r="M56" i="19" s="1"/>
  <c r="T56" i="19" s="1"/>
  <c r="L30" i="13"/>
  <c r="M30" i="13" s="1"/>
  <c r="L57" i="19"/>
  <c r="M57" i="19" s="1"/>
  <c r="L59" i="19"/>
  <c r="M59" i="19" s="1"/>
  <c r="L10" i="13"/>
  <c r="M10" i="13" s="1"/>
  <c r="T10" i="13" s="1"/>
  <c r="L17" i="19"/>
  <c r="M17" i="19" s="1"/>
  <c r="L55" i="19"/>
  <c r="M55" i="19" s="1"/>
  <c r="L25" i="13"/>
  <c r="M25" i="13" s="1"/>
  <c r="L7" i="13"/>
  <c r="M7" i="13" s="1"/>
  <c r="L12" i="19"/>
  <c r="M12" i="19" s="1"/>
  <c r="L31" i="13"/>
  <c r="M31" i="13" s="1"/>
  <c r="L61" i="19"/>
  <c r="M61" i="19" s="1"/>
  <c r="T61" i="19" s="1"/>
  <c r="H61" i="19"/>
  <c r="I61" i="19" s="1"/>
  <c r="S61" i="19" s="1"/>
  <c r="H60" i="19"/>
  <c r="I60" i="19" s="1"/>
  <c r="S60" i="19" s="1"/>
  <c r="H59" i="19"/>
  <c r="I59" i="19" s="1"/>
  <c r="H58" i="19"/>
  <c r="I58" i="19" s="1"/>
  <c r="H57" i="19"/>
  <c r="I57" i="19" s="1"/>
  <c r="H56" i="19"/>
  <c r="I56" i="19" s="1"/>
  <c r="H55" i="19"/>
  <c r="I55" i="19" s="1"/>
  <c r="H54" i="19"/>
  <c r="I54" i="19" s="1"/>
  <c r="H52" i="19"/>
  <c r="I52" i="19" s="1"/>
  <c r="H51" i="19"/>
  <c r="I51" i="19" s="1"/>
  <c r="S51" i="19" s="1"/>
  <c r="H50" i="19"/>
  <c r="I50" i="19" s="1"/>
  <c r="H49" i="19"/>
  <c r="I49" i="19" s="1"/>
  <c r="S49" i="19" s="1"/>
  <c r="H48" i="19"/>
  <c r="I48" i="19" s="1"/>
  <c r="H47" i="19"/>
  <c r="I47" i="19" s="1"/>
  <c r="H46" i="19"/>
  <c r="I46" i="19" s="1"/>
  <c r="H45" i="19"/>
  <c r="I45" i="19" s="1"/>
  <c r="S45" i="19" s="1"/>
  <c r="H44" i="19"/>
  <c r="I44" i="19" s="1"/>
  <c r="H43" i="19"/>
  <c r="I43" i="19" s="1"/>
  <c r="S43" i="19" s="1"/>
  <c r="H42" i="19"/>
  <c r="I42" i="19" s="1"/>
  <c r="H41" i="19"/>
  <c r="I41" i="19" s="1"/>
  <c r="S41" i="19" s="1"/>
  <c r="H40" i="19"/>
  <c r="I40" i="19" s="1"/>
  <c r="H39" i="19"/>
  <c r="I39" i="19" s="1"/>
  <c r="S39" i="19" s="1"/>
  <c r="H38" i="19"/>
  <c r="I38" i="19" s="1"/>
  <c r="H37" i="19"/>
  <c r="I37" i="19" s="1"/>
  <c r="S37" i="19" s="1"/>
  <c r="H36" i="19"/>
  <c r="I36" i="19" s="1"/>
  <c r="H35" i="19"/>
  <c r="I35" i="19" s="1"/>
  <c r="H34" i="19"/>
  <c r="I34" i="19" s="1"/>
  <c r="S34" i="19" s="1"/>
  <c r="H33" i="19"/>
  <c r="I33" i="19" s="1"/>
  <c r="H32" i="19"/>
  <c r="I32" i="19" s="1"/>
  <c r="S32" i="19" s="1"/>
  <c r="H31" i="19"/>
  <c r="I31" i="19" s="1"/>
  <c r="S31" i="19" s="1"/>
  <c r="H30" i="19"/>
  <c r="I30" i="19" s="1"/>
  <c r="S30" i="19" s="1"/>
  <c r="H29" i="19"/>
  <c r="I29" i="19" s="1"/>
  <c r="H28" i="19"/>
  <c r="I28" i="19" s="1"/>
  <c r="H27" i="19"/>
  <c r="I27" i="19" s="1"/>
  <c r="S27" i="19" s="1"/>
  <c r="H26" i="19"/>
  <c r="I26" i="19" s="1"/>
  <c r="H25" i="19"/>
  <c r="I25" i="19" s="1"/>
  <c r="H24" i="19"/>
  <c r="I24" i="19" s="1"/>
  <c r="H23" i="19"/>
  <c r="I23" i="19" s="1"/>
  <c r="H22" i="19"/>
  <c r="I22" i="19" s="1"/>
  <c r="H21" i="19"/>
  <c r="I21" i="19" s="1"/>
  <c r="H20" i="19"/>
  <c r="I20" i="19" s="1"/>
  <c r="H19" i="19"/>
  <c r="I19" i="19" s="1"/>
  <c r="H18" i="19"/>
  <c r="I18" i="19" s="1"/>
  <c r="S18" i="19" s="1"/>
  <c r="H17" i="19"/>
  <c r="I17" i="19" s="1"/>
  <c r="H16" i="19"/>
  <c r="I16" i="19" s="1"/>
  <c r="H15" i="19"/>
  <c r="I15" i="19" s="1"/>
  <c r="H13" i="19"/>
  <c r="I13" i="19" s="1"/>
  <c r="H12" i="19"/>
  <c r="I12" i="19" s="1"/>
  <c r="H11" i="19"/>
  <c r="I11" i="19" s="1"/>
  <c r="H5" i="19"/>
  <c r="I5" i="19" s="1"/>
  <c r="H4" i="19"/>
  <c r="I4" i="19" s="1"/>
  <c r="S4" i="19" s="1"/>
  <c r="H3" i="19"/>
  <c r="I3" i="19" s="1"/>
  <c r="P8" i="13"/>
  <c r="Q8" i="13" s="1"/>
  <c r="H34" i="13"/>
  <c r="I34" i="13" s="1"/>
  <c r="H33" i="13"/>
  <c r="I33" i="13" s="1"/>
  <c r="H32" i="13"/>
  <c r="I32" i="13" s="1"/>
  <c r="H31" i="13"/>
  <c r="I31" i="13" s="1"/>
  <c r="H30" i="13"/>
  <c r="I30" i="13" s="1"/>
  <c r="H29" i="13"/>
  <c r="I29" i="13" s="1"/>
  <c r="H28" i="13"/>
  <c r="I28" i="13" s="1"/>
  <c r="S28" i="13" s="1"/>
  <c r="H27" i="13"/>
  <c r="I27" i="13" s="1"/>
  <c r="S27" i="13" s="1"/>
  <c r="H26" i="13"/>
  <c r="I26" i="13" s="1"/>
  <c r="H25" i="13"/>
  <c r="I25" i="13" s="1"/>
  <c r="S25" i="13" s="1"/>
  <c r="H24" i="13"/>
  <c r="I24" i="13" s="1"/>
  <c r="H23" i="13"/>
  <c r="I23" i="13" s="1"/>
  <c r="H22" i="13"/>
  <c r="I22" i="13" s="1"/>
  <c r="S22" i="13" s="1"/>
  <c r="H21" i="13"/>
  <c r="I21" i="13" s="1"/>
  <c r="H20" i="13"/>
  <c r="I20" i="13" s="1"/>
  <c r="H19" i="13"/>
  <c r="I19" i="13" s="1"/>
  <c r="H18" i="13"/>
  <c r="I18" i="13" s="1"/>
  <c r="S18" i="13" s="1"/>
  <c r="H17" i="13"/>
  <c r="I17" i="13" s="1"/>
  <c r="H16" i="13"/>
  <c r="I16" i="13" s="1"/>
  <c r="S16" i="13" s="1"/>
  <c r="H15" i="13"/>
  <c r="I15" i="13" s="1"/>
  <c r="H14" i="13"/>
  <c r="I14" i="13" s="1"/>
  <c r="H13" i="13"/>
  <c r="I13" i="13" s="1"/>
  <c r="S13" i="13" s="1"/>
  <c r="H12" i="13"/>
  <c r="I12" i="13" s="1"/>
  <c r="H11" i="13"/>
  <c r="I11" i="13" s="1"/>
  <c r="S11" i="13" s="1"/>
  <c r="H10" i="13"/>
  <c r="I10" i="13" s="1"/>
  <c r="S10" i="13" s="1"/>
  <c r="H9" i="13"/>
  <c r="I9" i="13" s="1"/>
  <c r="H7" i="13"/>
  <c r="I7" i="13" s="1"/>
  <c r="H4" i="13"/>
  <c r="I4" i="13" s="1"/>
  <c r="S4" i="13" s="1"/>
  <c r="H3" i="13"/>
  <c r="I3" i="13" s="1"/>
  <c r="H12" i="11"/>
  <c r="I12" i="11" s="1"/>
  <c r="H8" i="18"/>
  <c r="I8" i="18" s="1"/>
  <c r="H9" i="18"/>
  <c r="I9" i="18" s="1"/>
  <c r="H11" i="18"/>
  <c r="I11" i="18" s="1"/>
  <c r="H6" i="18"/>
  <c r="I6" i="18" s="1"/>
  <c r="S6" i="18" s="1"/>
  <c r="H4" i="18"/>
  <c r="I4" i="18" s="1"/>
  <c r="H5" i="18"/>
  <c r="I5" i="18" s="1"/>
  <c r="H10" i="18"/>
  <c r="I10" i="18" s="1"/>
  <c r="H3" i="18"/>
  <c r="I3" i="18" s="1"/>
  <c r="H2" i="18"/>
  <c r="I2" i="18" s="1"/>
  <c r="H8" i="13"/>
  <c r="I8" i="13" s="1"/>
  <c r="H2" i="15"/>
  <c r="I2" i="15" s="1"/>
  <c r="L2" i="15"/>
  <c r="M2" i="15" s="1"/>
  <c r="P2" i="15"/>
  <c r="Q2" i="15" s="1"/>
  <c r="H3" i="15"/>
  <c r="I3" i="15" s="1"/>
  <c r="L3" i="15"/>
  <c r="M3" i="15"/>
  <c r="P3" i="15"/>
  <c r="Q3" i="15" s="1"/>
  <c r="H4" i="15"/>
  <c r="I4" i="15" s="1"/>
  <c r="L4" i="15"/>
  <c r="M4" i="15" s="1"/>
  <c r="P4" i="15"/>
  <c r="Q4" i="15" s="1"/>
  <c r="H5" i="15"/>
  <c r="I5" i="15" s="1"/>
  <c r="L5" i="15"/>
  <c r="M5" i="15" s="1"/>
  <c r="T5" i="15" s="1"/>
  <c r="P5" i="15"/>
  <c r="Q5" i="15" s="1"/>
  <c r="H6" i="15"/>
  <c r="I6" i="15" s="1"/>
  <c r="L6" i="15"/>
  <c r="M6" i="15" s="1"/>
  <c r="P6" i="15"/>
  <c r="Q6" i="15" s="1"/>
  <c r="H7" i="15"/>
  <c r="I7" i="15" s="1"/>
  <c r="L7" i="15"/>
  <c r="M7" i="15" s="1"/>
  <c r="P7" i="15"/>
  <c r="Q7" i="15" s="1"/>
  <c r="S7" i="15" s="1"/>
  <c r="H8" i="15"/>
  <c r="I8" i="15" s="1"/>
  <c r="L8" i="15"/>
  <c r="M8" i="15" s="1"/>
  <c r="P8" i="15"/>
  <c r="Q8" i="15" s="1"/>
  <c r="H9" i="15"/>
  <c r="I9" i="15" s="1"/>
  <c r="L9" i="15"/>
  <c r="M9" i="15" s="1"/>
  <c r="P9" i="15"/>
  <c r="Q9" i="15" s="1"/>
  <c r="H10" i="15"/>
  <c r="I10" i="15" s="1"/>
  <c r="L10" i="15"/>
  <c r="M10" i="15" s="1"/>
  <c r="P10" i="15"/>
  <c r="Q10" i="15" s="1"/>
  <c r="H11" i="15"/>
  <c r="I11" i="15" s="1"/>
  <c r="L11" i="15"/>
  <c r="M11" i="15" s="1"/>
  <c r="T11" i="15" s="1"/>
  <c r="P11" i="15"/>
  <c r="Q11" i="15" s="1"/>
  <c r="H12" i="15"/>
  <c r="I12" i="15" s="1"/>
  <c r="L12" i="15"/>
  <c r="M12" i="15" s="1"/>
  <c r="P12" i="15"/>
  <c r="Q12" i="15" s="1"/>
  <c r="H13" i="15"/>
  <c r="I13" i="15" s="1"/>
  <c r="L13" i="15"/>
  <c r="M13" i="15"/>
  <c r="P13" i="15"/>
  <c r="Q13" i="15" s="1"/>
  <c r="H14" i="15"/>
  <c r="I14" i="15" s="1"/>
  <c r="L14" i="15"/>
  <c r="M14" i="15" s="1"/>
  <c r="P14" i="15"/>
  <c r="Q14" i="15" s="1"/>
  <c r="H15" i="15"/>
  <c r="I15" i="15" s="1"/>
  <c r="L15" i="15"/>
  <c r="M15" i="15" s="1"/>
  <c r="P15" i="15"/>
  <c r="Q15" i="15" s="1"/>
  <c r="H16" i="15"/>
  <c r="I16" i="15" s="1"/>
  <c r="L16" i="15"/>
  <c r="M16" i="15" s="1"/>
  <c r="P16" i="15"/>
  <c r="Q16" i="15" s="1"/>
  <c r="H17" i="15"/>
  <c r="I17" i="15" s="1"/>
  <c r="L17" i="15"/>
  <c r="M17" i="15" s="1"/>
  <c r="P17" i="15"/>
  <c r="Q17" i="15" s="1"/>
  <c r="H18" i="15"/>
  <c r="I18" i="15" s="1"/>
  <c r="L18" i="15"/>
  <c r="M18" i="15" s="1"/>
  <c r="P18" i="15"/>
  <c r="Q18" i="15" s="1"/>
  <c r="H19" i="15"/>
  <c r="I19" i="15" s="1"/>
  <c r="L19" i="15"/>
  <c r="M19" i="15" s="1"/>
  <c r="P19" i="15"/>
  <c r="Q19" i="15" s="1"/>
  <c r="S19" i="15" s="1"/>
  <c r="H2" i="11"/>
  <c r="I2" i="11" s="1"/>
  <c r="L2" i="11"/>
  <c r="M2" i="11"/>
  <c r="P2" i="11"/>
  <c r="Q2" i="11" s="1"/>
  <c r="H3" i="11"/>
  <c r="I3" i="11" s="1"/>
  <c r="L3" i="11"/>
  <c r="M3" i="11" s="1"/>
  <c r="P3" i="11"/>
  <c r="Q3" i="11" s="1"/>
  <c r="H4" i="11"/>
  <c r="I4" i="11" s="1"/>
  <c r="L4" i="11"/>
  <c r="M4" i="11" s="1"/>
  <c r="H5" i="11"/>
  <c r="I5" i="11" s="1"/>
  <c r="L5" i="11"/>
  <c r="M5" i="11" s="1"/>
  <c r="P5" i="11"/>
  <c r="Q5" i="11" s="1"/>
  <c r="H6" i="11"/>
  <c r="I6" i="11" s="1"/>
  <c r="L6" i="11"/>
  <c r="M6" i="11" s="1"/>
  <c r="P6" i="11"/>
  <c r="Q6" i="11" s="1"/>
  <c r="H7" i="11"/>
  <c r="I7" i="11" s="1"/>
  <c r="L7" i="11"/>
  <c r="M7" i="11" s="1"/>
  <c r="P7" i="11"/>
  <c r="Q7" i="11" s="1"/>
  <c r="H8" i="11"/>
  <c r="I8" i="11" s="1"/>
  <c r="L8" i="11"/>
  <c r="M8" i="11" s="1"/>
  <c r="P8" i="11"/>
  <c r="Q8" i="11" s="1"/>
  <c r="H9" i="11"/>
  <c r="I9" i="11" s="1"/>
  <c r="L9" i="11"/>
  <c r="M9" i="11" s="1"/>
  <c r="P9" i="11"/>
  <c r="Q9" i="11" s="1"/>
  <c r="H2" i="16"/>
  <c r="I2" i="16" s="1"/>
  <c r="L2" i="16"/>
  <c r="M2" i="16" s="1"/>
  <c r="P2" i="16"/>
  <c r="Q2" i="16" s="1"/>
  <c r="H3" i="16"/>
  <c r="I3" i="16" s="1"/>
  <c r="L3" i="16"/>
  <c r="M3" i="16" s="1"/>
  <c r="P3" i="16"/>
  <c r="Q3" i="16" s="1"/>
  <c r="H4" i="16"/>
  <c r="I4" i="16" s="1"/>
  <c r="L4" i="16"/>
  <c r="M4" i="16" s="1"/>
  <c r="P4" i="16"/>
  <c r="Q4" i="16" s="1"/>
  <c r="H5" i="16"/>
  <c r="I5" i="16" s="1"/>
  <c r="L5" i="16"/>
  <c r="M5" i="16" s="1"/>
  <c r="P5" i="16"/>
  <c r="Q5" i="16" s="1"/>
  <c r="H6" i="16"/>
  <c r="I6" i="16" s="1"/>
  <c r="L6" i="16"/>
  <c r="M6" i="16" s="1"/>
  <c r="P6" i="16"/>
  <c r="Q6" i="16" s="1"/>
  <c r="H7" i="16"/>
  <c r="I7" i="16" s="1"/>
  <c r="L7" i="16"/>
  <c r="M7" i="16" s="1"/>
  <c r="P7" i="16"/>
  <c r="Q7" i="16" s="1"/>
  <c r="H8" i="16"/>
  <c r="I8" i="16" s="1"/>
  <c r="L8" i="16"/>
  <c r="M8" i="16" s="1"/>
  <c r="P8" i="16"/>
  <c r="Q8" i="16" s="1"/>
  <c r="H9" i="16"/>
  <c r="I9" i="16" s="1"/>
  <c r="L9" i="16"/>
  <c r="M9" i="16" s="1"/>
  <c r="P9" i="16"/>
  <c r="Q9" i="16" s="1"/>
  <c r="H10" i="16"/>
  <c r="I10" i="16" s="1"/>
  <c r="L10" i="16"/>
  <c r="M10" i="16"/>
  <c r="P10" i="16"/>
  <c r="Q10" i="16" s="1"/>
  <c r="H11" i="16"/>
  <c r="I11" i="16" s="1"/>
  <c r="L11" i="16"/>
  <c r="M11" i="16" s="1"/>
  <c r="P11" i="16"/>
  <c r="Q11" i="16" s="1"/>
  <c r="H12" i="16"/>
  <c r="I12" i="16" s="1"/>
  <c r="L12" i="16"/>
  <c r="M12" i="16" s="1"/>
  <c r="P12" i="16"/>
  <c r="Q12" i="16" s="1"/>
  <c r="H13" i="16"/>
  <c r="I13" i="16" s="1"/>
  <c r="L13" i="16"/>
  <c r="M13" i="16" s="1"/>
  <c r="P13" i="16"/>
  <c r="Q13" i="16" s="1"/>
  <c r="H14" i="16"/>
  <c r="I14" i="16" s="1"/>
  <c r="L14" i="16"/>
  <c r="M14" i="16" s="1"/>
  <c r="P14" i="16"/>
  <c r="Q14" i="16" s="1"/>
  <c r="H15" i="16"/>
  <c r="I15" i="16" s="1"/>
  <c r="L15" i="16"/>
  <c r="M15" i="16" s="1"/>
  <c r="P15" i="16"/>
  <c r="Q15" i="16" s="1"/>
  <c r="H16" i="16"/>
  <c r="I16" i="16" s="1"/>
  <c r="L16" i="16"/>
  <c r="M16" i="16" s="1"/>
  <c r="P16" i="16"/>
  <c r="Q16" i="16" s="1"/>
  <c r="H17" i="16"/>
  <c r="I17" i="16" s="1"/>
  <c r="L17" i="16"/>
  <c r="M17" i="16" s="1"/>
  <c r="P17" i="16"/>
  <c r="Q17" i="16" s="1"/>
  <c r="H18" i="16"/>
  <c r="I18" i="16" s="1"/>
  <c r="L18" i="16"/>
  <c r="M18" i="16" s="1"/>
  <c r="P18" i="16"/>
  <c r="Q18" i="16" s="1"/>
  <c r="H19" i="16"/>
  <c r="I19" i="16" s="1"/>
  <c r="L19" i="16"/>
  <c r="M19" i="16" s="1"/>
  <c r="P19" i="16"/>
  <c r="Q19" i="16" s="1"/>
  <c r="H20" i="16"/>
  <c r="I20" i="16" s="1"/>
  <c r="L20" i="16"/>
  <c r="M20" i="16" s="1"/>
  <c r="P20" i="16"/>
  <c r="Q20" i="16" s="1"/>
  <c r="H21" i="16"/>
  <c r="I21" i="16" s="1"/>
  <c r="K21" i="16"/>
  <c r="L21" i="16" s="1"/>
  <c r="M21" i="16" s="1"/>
  <c r="P21" i="16"/>
  <c r="Q21" i="16" s="1"/>
  <c r="H22" i="16"/>
  <c r="I22" i="16" s="1"/>
  <c r="L22" i="16"/>
  <c r="M22" i="16" s="1"/>
  <c r="P22" i="16"/>
  <c r="Q22" i="16" s="1"/>
  <c r="H23" i="16"/>
  <c r="I23" i="16" s="1"/>
  <c r="L23" i="16"/>
  <c r="M23" i="16" s="1"/>
  <c r="P23" i="16"/>
  <c r="Q23" i="16" s="1"/>
  <c r="H24" i="16"/>
  <c r="I24" i="16" s="1"/>
  <c r="L24" i="16"/>
  <c r="M24" i="16" s="1"/>
  <c r="P24" i="16"/>
  <c r="Q24" i="16" s="1"/>
  <c r="H25" i="16"/>
  <c r="I25" i="16" s="1"/>
  <c r="L25" i="16"/>
  <c r="M25" i="16" s="1"/>
  <c r="P25" i="16"/>
  <c r="Q25" i="16" s="1"/>
  <c r="H26" i="16"/>
  <c r="I26" i="16" s="1"/>
  <c r="L26" i="16"/>
  <c r="M26" i="16" s="1"/>
  <c r="P26" i="16"/>
  <c r="Q26" i="16" s="1"/>
  <c r="H27" i="16"/>
  <c r="I27" i="16" s="1"/>
  <c r="L27" i="16"/>
  <c r="M27" i="16" s="1"/>
  <c r="P27" i="16"/>
  <c r="Q27" i="16" s="1"/>
  <c r="H28" i="16"/>
  <c r="I28" i="16" s="1"/>
  <c r="L28" i="16"/>
  <c r="M28" i="16" s="1"/>
  <c r="P28" i="16"/>
  <c r="Q28" i="16" s="1"/>
  <c r="H29" i="16"/>
  <c r="I29" i="16" s="1"/>
  <c r="L29" i="16"/>
  <c r="M29" i="16" s="1"/>
  <c r="P29" i="16"/>
  <c r="Q29" i="16" s="1"/>
  <c r="H30" i="16"/>
  <c r="I30" i="16" s="1"/>
  <c r="L30" i="16"/>
  <c r="M30" i="16" s="1"/>
  <c r="P30" i="16"/>
  <c r="Q30" i="16" s="1"/>
  <c r="H31" i="16"/>
  <c r="I31" i="16" s="1"/>
  <c r="L31" i="16"/>
  <c r="M31" i="16" s="1"/>
  <c r="P31" i="16"/>
  <c r="Q31" i="16" s="1"/>
  <c r="H32" i="16"/>
  <c r="I32" i="16" s="1"/>
  <c r="L32" i="16"/>
  <c r="M32" i="16" s="1"/>
  <c r="P32" i="16"/>
  <c r="Q32" i="16" s="1"/>
  <c r="H33" i="16"/>
  <c r="I33" i="16" s="1"/>
  <c r="L33" i="16"/>
  <c r="M33" i="16" s="1"/>
  <c r="P33" i="16"/>
  <c r="Q33" i="16" s="1"/>
  <c r="H34" i="16"/>
  <c r="I34" i="16" s="1"/>
  <c r="L34" i="16"/>
  <c r="M34" i="16" s="1"/>
  <c r="P34" i="16"/>
  <c r="Q34" i="16" s="1"/>
  <c r="H35" i="16"/>
  <c r="I35" i="16" s="1"/>
  <c r="L35" i="16"/>
  <c r="M35" i="16" s="1"/>
  <c r="P35" i="16"/>
  <c r="Q35" i="16" s="1"/>
  <c r="H36" i="16"/>
  <c r="I36" i="16" s="1"/>
  <c r="L36" i="16"/>
  <c r="M36" i="16" s="1"/>
  <c r="P36" i="16"/>
  <c r="Q36" i="16" s="1"/>
  <c r="H37" i="16"/>
  <c r="I37" i="16" s="1"/>
  <c r="L37" i="16"/>
  <c r="M37" i="16" s="1"/>
  <c r="P37" i="16"/>
  <c r="Q37" i="16" s="1"/>
  <c r="H38" i="16"/>
  <c r="I38" i="16" s="1"/>
  <c r="L38" i="16"/>
  <c r="M38" i="16" s="1"/>
  <c r="P38" i="16"/>
  <c r="Q38" i="16" s="1"/>
  <c r="G39" i="16"/>
  <c r="H39" i="16" s="1"/>
  <c r="I39" i="16" s="1"/>
  <c r="L39" i="16"/>
  <c r="M39" i="16" s="1"/>
  <c r="P39" i="16"/>
  <c r="Q39" i="16" s="1"/>
  <c r="H40" i="16"/>
  <c r="I40" i="16" s="1"/>
  <c r="L40" i="16"/>
  <c r="M40" i="16" s="1"/>
  <c r="P40" i="16"/>
  <c r="Q40" i="16" s="1"/>
  <c r="H41" i="16"/>
  <c r="I41" i="16" s="1"/>
  <c r="L41" i="16"/>
  <c r="M41" i="16" s="1"/>
  <c r="P41" i="16"/>
  <c r="Q41" i="16" s="1"/>
  <c r="H42" i="16"/>
  <c r="I42" i="16" s="1"/>
  <c r="L42" i="16"/>
  <c r="M42" i="16" s="1"/>
  <c r="P42" i="16"/>
  <c r="Q42" i="16" s="1"/>
  <c r="H43" i="16"/>
  <c r="I43" i="16" s="1"/>
  <c r="L43" i="16"/>
  <c r="M43" i="16" s="1"/>
  <c r="P43" i="16"/>
  <c r="Q43" i="16" s="1"/>
  <c r="H44" i="16"/>
  <c r="I44" i="16"/>
  <c r="L44" i="16"/>
  <c r="M44" i="16" s="1"/>
  <c r="P44" i="16"/>
  <c r="Q44" i="16" s="1"/>
  <c r="H45" i="16"/>
  <c r="I45" i="16" s="1"/>
  <c r="L45" i="16"/>
  <c r="M45" i="16" s="1"/>
  <c r="P45" i="16"/>
  <c r="Q45" i="16" s="1"/>
  <c r="H46" i="16"/>
  <c r="I46" i="16" s="1"/>
  <c r="L46" i="16"/>
  <c r="M46" i="16" s="1"/>
  <c r="P46" i="16"/>
  <c r="Q46" i="16" s="1"/>
  <c r="H47" i="16"/>
  <c r="I47" i="16" s="1"/>
  <c r="M47" i="16"/>
  <c r="Q47" i="16"/>
  <c r="H48" i="16"/>
  <c r="I48" i="16" s="1"/>
  <c r="L48" i="16"/>
  <c r="M48" i="16" s="1"/>
  <c r="Q48" i="16"/>
  <c r="H49" i="16"/>
  <c r="I49" i="16" s="1"/>
  <c r="M49" i="16"/>
  <c r="Q49" i="16"/>
  <c r="H50" i="16"/>
  <c r="I50" i="16" s="1"/>
  <c r="L50" i="16"/>
  <c r="M50" i="16" s="1"/>
  <c r="P50" i="16"/>
  <c r="Q50" i="16" s="1"/>
  <c r="H51" i="16"/>
  <c r="I51" i="16" s="1"/>
  <c r="L51" i="16"/>
  <c r="M51" i="16" s="1"/>
  <c r="P51" i="16"/>
  <c r="Q51" i="16" s="1"/>
  <c r="H52" i="16"/>
  <c r="I52" i="16" s="1"/>
  <c r="L52" i="16"/>
  <c r="M52" i="16" s="1"/>
  <c r="P52" i="16"/>
  <c r="Q52" i="16" s="1"/>
  <c r="H53" i="16"/>
  <c r="I53" i="16" s="1"/>
  <c r="L53" i="16"/>
  <c r="M53" i="16" s="1"/>
  <c r="P53" i="16"/>
  <c r="Q53" i="16" s="1"/>
  <c r="H54" i="16"/>
  <c r="I54" i="16" s="1"/>
  <c r="L54" i="16"/>
  <c r="M54" i="16" s="1"/>
  <c r="P54" i="16"/>
  <c r="Q54" i="16" s="1"/>
  <c r="H55" i="16"/>
  <c r="I55" i="16" s="1"/>
  <c r="L55" i="16"/>
  <c r="M55" i="16" s="1"/>
  <c r="P55" i="16"/>
  <c r="Q55" i="16" s="1"/>
  <c r="H56" i="16"/>
  <c r="I56" i="16" s="1"/>
  <c r="L56" i="16"/>
  <c r="M56" i="16" s="1"/>
  <c r="P56" i="16"/>
  <c r="Q56" i="16" s="1"/>
  <c r="H57" i="16"/>
  <c r="I57" i="16" s="1"/>
  <c r="L57" i="16"/>
  <c r="M57" i="16" s="1"/>
  <c r="P57" i="16"/>
  <c r="Q57" i="16" s="1"/>
  <c r="H58" i="16"/>
  <c r="I58" i="16" s="1"/>
  <c r="L58" i="16"/>
  <c r="M58" i="16" s="1"/>
  <c r="P58" i="16"/>
  <c r="Q58" i="16" s="1"/>
  <c r="H59" i="16"/>
  <c r="I59" i="16" s="1"/>
  <c r="H60" i="16"/>
  <c r="I60" i="16" s="1"/>
  <c r="Q2" i="21"/>
  <c r="S33" i="19" l="1"/>
  <c r="T43" i="19"/>
  <c r="S44" i="21"/>
  <c r="T44" i="21"/>
  <c r="T7" i="18"/>
  <c r="S21" i="19"/>
  <c r="S17" i="13"/>
  <c r="S17" i="15"/>
  <c r="S45" i="16"/>
  <c r="S44" i="16"/>
  <c r="T3" i="11"/>
  <c r="S28" i="19"/>
  <c r="T8" i="11"/>
  <c r="T18" i="15"/>
  <c r="S29" i="19"/>
  <c r="T51" i="19"/>
  <c r="T3" i="15"/>
  <c r="T59" i="16"/>
  <c r="S12" i="11"/>
  <c r="S5" i="13"/>
  <c r="T19" i="16"/>
  <c r="T17" i="15"/>
  <c r="T10" i="15"/>
  <c r="S16" i="16"/>
  <c r="S4" i="16"/>
  <c r="T22" i="19"/>
  <c r="T2" i="23"/>
  <c r="T67" i="16"/>
  <c r="Q12" i="18"/>
  <c r="I9" i="28" s="1"/>
  <c r="L9" i="28" s="1"/>
  <c r="T19" i="15"/>
  <c r="S7" i="18"/>
  <c r="T26" i="19"/>
  <c r="S47" i="16"/>
  <c r="S15" i="13"/>
  <c r="S26" i="19"/>
  <c r="T14" i="19"/>
  <c r="S15" i="15"/>
  <c r="S20" i="19"/>
  <c r="S58" i="19"/>
  <c r="T20" i="15"/>
  <c r="S59" i="16"/>
  <c r="S8" i="11"/>
  <c r="S16" i="34"/>
  <c r="S17" i="16"/>
  <c r="S5" i="19"/>
  <c r="T54" i="16"/>
  <c r="T36" i="16"/>
  <c r="S3" i="16"/>
  <c r="S21" i="15"/>
  <c r="S65" i="16"/>
  <c r="T49" i="16"/>
  <c r="S43" i="16"/>
  <c r="S40" i="16"/>
  <c r="S29" i="16"/>
  <c r="S27" i="16"/>
  <c r="S42" i="19"/>
  <c r="S31" i="16"/>
  <c r="T5" i="16"/>
  <c r="S9" i="11"/>
  <c r="T2" i="11"/>
  <c r="S8" i="15"/>
  <c r="S3" i="18"/>
  <c r="S13" i="16"/>
  <c r="T46" i="19"/>
  <c r="S2" i="37"/>
  <c r="S5" i="16"/>
  <c r="S13" i="15"/>
  <c r="S11" i="15"/>
  <c r="S9" i="15"/>
  <c r="T52" i="19"/>
  <c r="T11" i="34"/>
  <c r="S18" i="16"/>
  <c r="S58" i="16"/>
  <c r="S42" i="16"/>
  <c r="T8" i="16"/>
  <c r="S2" i="11"/>
  <c r="S3" i="15"/>
  <c r="S23" i="19"/>
  <c r="S38" i="19"/>
  <c r="T3" i="24"/>
  <c r="T21" i="13"/>
  <c r="S6" i="15"/>
  <c r="T57" i="16"/>
  <c r="S15" i="16"/>
  <c r="T10" i="16"/>
  <c r="T15" i="15"/>
  <c r="S5" i="15"/>
  <c r="T2" i="15"/>
  <c r="S62" i="16"/>
  <c r="S14" i="15"/>
  <c r="T14" i="15"/>
  <c r="S17" i="33"/>
  <c r="T17" i="33"/>
  <c r="T16" i="15"/>
  <c r="S16" i="15"/>
  <c r="S9" i="18"/>
  <c r="T64" i="16"/>
  <c r="T61" i="16"/>
  <c r="S9" i="16"/>
  <c r="S61" i="16"/>
  <c r="S46" i="16"/>
  <c r="T65" i="16"/>
  <c r="T53" i="16"/>
  <c r="S64" i="16"/>
  <c r="S60" i="16"/>
  <c r="S53" i="16"/>
  <c r="T48" i="16"/>
  <c r="T46" i="16"/>
  <c r="S35" i="16"/>
  <c r="T30" i="16"/>
  <c r="T26" i="16"/>
  <c r="S23" i="16"/>
  <c r="T3" i="16"/>
  <c r="S57" i="16"/>
  <c r="T52" i="16"/>
  <c r="T50" i="16"/>
  <c r="T44" i="16"/>
  <c r="T34" i="16"/>
  <c r="T32" i="16"/>
  <c r="T17" i="16"/>
  <c r="S12" i="16"/>
  <c r="T6" i="16"/>
  <c r="T9" i="11"/>
  <c r="S18" i="15"/>
  <c r="T8" i="15"/>
  <c r="T6" i="15"/>
  <c r="S46" i="19"/>
  <c r="S41" i="21"/>
  <c r="T6" i="18"/>
  <c r="T16" i="34"/>
  <c r="T2" i="37"/>
  <c r="T56" i="16"/>
  <c r="S48" i="16"/>
  <c r="T38" i="16"/>
  <c r="T28" i="16"/>
  <c r="T24" i="16"/>
  <c r="T20" i="16"/>
  <c r="S11" i="16"/>
  <c r="S10" i="16"/>
  <c r="T4" i="16"/>
  <c r="T7" i="11"/>
  <c r="S10" i="15"/>
  <c r="T12" i="35"/>
  <c r="T35" i="16"/>
  <c r="T47" i="16"/>
  <c r="T45" i="16"/>
  <c r="T40" i="16"/>
  <c r="S28" i="16"/>
  <c r="S24" i="16"/>
  <c r="T18" i="16"/>
  <c r="T13" i="16"/>
  <c r="T5" i="11"/>
  <c r="S47" i="19"/>
  <c r="T2" i="26"/>
  <c r="T33" i="19"/>
  <c r="E28" i="28"/>
  <c r="T12" i="11"/>
  <c r="T43" i="16"/>
  <c r="T23" i="16"/>
  <c r="T16" i="16"/>
  <c r="S7" i="16"/>
  <c r="S22" i="19"/>
  <c r="S35" i="19"/>
  <c r="T35" i="19"/>
  <c r="S56" i="16"/>
  <c r="T51" i="16"/>
  <c r="T41" i="16"/>
  <c r="S38" i="16"/>
  <c r="T33" i="16"/>
  <c r="S20" i="16"/>
  <c r="T14" i="16"/>
  <c r="T9" i="16"/>
  <c r="T6" i="11"/>
  <c r="S3" i="11"/>
  <c r="T7" i="15"/>
  <c r="S36" i="19"/>
  <c r="T23" i="13"/>
  <c r="T4" i="33"/>
  <c r="S23" i="13"/>
  <c r="T55" i="16"/>
  <c r="S49" i="16"/>
  <c r="T39" i="16"/>
  <c r="T37" i="16"/>
  <c r="T21" i="16"/>
  <c r="T12" i="16"/>
  <c r="T7" i="16"/>
  <c r="T25" i="19"/>
  <c r="T21" i="15"/>
  <c r="T2" i="19"/>
  <c r="T9" i="34"/>
  <c r="S13" i="35"/>
  <c r="T2" i="35"/>
  <c r="T11" i="35"/>
  <c r="T13" i="35"/>
  <c r="S7" i="35"/>
  <c r="S21" i="35"/>
  <c r="S11" i="35"/>
  <c r="T15" i="34"/>
  <c r="T6" i="35"/>
  <c r="T7" i="35"/>
  <c r="T16" i="35"/>
  <c r="S6" i="35"/>
  <c r="S16" i="35"/>
  <c r="T21" i="35"/>
  <c r="T25" i="34"/>
  <c r="T19" i="34"/>
  <c r="T18" i="34"/>
  <c r="S15" i="34"/>
  <c r="T20" i="34"/>
  <c r="T12" i="34"/>
  <c r="T21" i="34"/>
  <c r="S13" i="34"/>
  <c r="T26" i="34"/>
  <c r="S26" i="34"/>
  <c r="S12" i="34"/>
  <c r="T13" i="34"/>
  <c r="H35" i="34"/>
  <c r="S11" i="34"/>
  <c r="T5" i="26"/>
  <c r="S5" i="26"/>
  <c r="S9" i="13"/>
  <c r="S32" i="13"/>
  <c r="T19" i="13"/>
  <c r="S2" i="13"/>
  <c r="S26" i="13"/>
  <c r="S8" i="13"/>
  <c r="T7" i="13"/>
  <c r="S34" i="13"/>
  <c r="S19" i="13"/>
  <c r="T31" i="13"/>
  <c r="S12" i="13"/>
  <c r="S20" i="13"/>
  <c r="S21" i="13"/>
  <c r="S29" i="13"/>
  <c r="T24" i="13"/>
  <c r="T34" i="13"/>
  <c r="T17" i="13"/>
  <c r="S30" i="13"/>
  <c r="T30" i="13"/>
  <c r="S31" i="13"/>
  <c r="T27" i="13"/>
  <c r="S24" i="13"/>
  <c r="T28" i="13"/>
  <c r="T8" i="13"/>
  <c r="T14" i="13"/>
  <c r="Q35" i="13"/>
  <c r="S3" i="13"/>
  <c r="T20" i="13"/>
  <c r="T9" i="13"/>
  <c r="T25" i="13"/>
  <c r="T12" i="13"/>
  <c r="S14" i="13"/>
  <c r="T11" i="13"/>
  <c r="T33" i="13"/>
  <c r="T26" i="13"/>
  <c r="T2" i="13"/>
  <c r="S33" i="13"/>
  <c r="T17" i="19"/>
  <c r="S16" i="19"/>
  <c r="T48" i="19"/>
  <c r="S50" i="19"/>
  <c r="T57" i="19"/>
  <c r="T38" i="19"/>
  <c r="T58" i="19"/>
  <c r="T28" i="19"/>
  <c r="S19" i="19"/>
  <c r="S24" i="19"/>
  <c r="S12" i="19"/>
  <c r="S40" i="19"/>
  <c r="T13" i="19"/>
  <c r="S55" i="19"/>
  <c r="T19" i="19"/>
  <c r="S15" i="19"/>
  <c r="T23" i="19"/>
  <c r="S59" i="19"/>
  <c r="S13" i="19"/>
  <c r="S8" i="19"/>
  <c r="T10" i="19"/>
  <c r="T60" i="19"/>
  <c r="T3" i="19"/>
  <c r="S2" i="19"/>
  <c r="T54" i="19"/>
  <c r="S57" i="19"/>
  <c r="T59" i="19"/>
  <c r="T47" i="19"/>
  <c r="T30" i="19"/>
  <c r="S48" i="19"/>
  <c r="T29" i="19"/>
  <c r="T6" i="19"/>
  <c r="T39" i="19"/>
  <c r="T15" i="19"/>
  <c r="S7" i="19"/>
  <c r="S11" i="19"/>
  <c r="S52" i="19"/>
  <c r="S17" i="19"/>
  <c r="S25" i="19"/>
  <c r="S54" i="19"/>
  <c r="T55" i="19"/>
  <c r="T16" i="19"/>
  <c r="T45" i="19"/>
  <c r="S74" i="21"/>
  <c r="S15" i="21"/>
  <c r="S11" i="21"/>
  <c r="T42" i="21"/>
  <c r="S60" i="21"/>
  <c r="S45" i="21"/>
  <c r="S66" i="21"/>
  <c r="S9" i="25"/>
  <c r="T9" i="25"/>
  <c r="S5" i="25"/>
  <c r="I24" i="25"/>
  <c r="T5" i="25"/>
  <c r="S39" i="21"/>
  <c r="S43" i="21"/>
  <c r="T57" i="21"/>
  <c r="S72" i="21"/>
  <c r="T86" i="21"/>
  <c r="S26" i="21"/>
  <c r="T28" i="21"/>
  <c r="T53" i="21"/>
  <c r="T9" i="21"/>
  <c r="T16" i="21"/>
  <c r="T15" i="21"/>
  <c r="S57" i="21"/>
  <c r="S33" i="21"/>
  <c r="T39" i="21"/>
  <c r="T43" i="21"/>
  <c r="T80" i="21"/>
  <c r="T72" i="21"/>
  <c r="T2" i="21"/>
  <c r="T60" i="21"/>
  <c r="T26" i="21"/>
  <c r="S78" i="21"/>
  <c r="S42" i="21"/>
  <c r="T78" i="21"/>
  <c r="S86" i="21"/>
  <c r="S53" i="21"/>
  <c r="S19" i="21"/>
  <c r="S16" i="21"/>
  <c r="T45" i="21"/>
  <c r="T33" i="21"/>
  <c r="S28" i="21"/>
  <c r="T11" i="21"/>
  <c r="S80" i="21"/>
  <c r="S9" i="21"/>
  <c r="T19" i="21"/>
  <c r="T41" i="21"/>
  <c r="S6" i="40"/>
  <c r="S7" i="40"/>
  <c r="S5" i="40"/>
  <c r="S9" i="40"/>
  <c r="P16" i="40"/>
  <c r="S39" i="16"/>
  <c r="S54" i="16"/>
  <c r="S52" i="16"/>
  <c r="S36" i="16"/>
  <c r="S34" i="16"/>
  <c r="T31" i="16"/>
  <c r="T29" i="16"/>
  <c r="T27" i="16"/>
  <c r="S25" i="16"/>
  <c r="T25" i="16"/>
  <c r="S6" i="16"/>
  <c r="S2" i="16"/>
  <c r="I70" i="16"/>
  <c r="Q10" i="11"/>
  <c r="T4" i="11"/>
  <c r="S2" i="18"/>
  <c r="I12" i="18"/>
  <c r="S51" i="16"/>
  <c r="S33" i="16"/>
  <c r="T12" i="15"/>
  <c r="S12" i="15"/>
  <c r="S55" i="16"/>
  <c r="T42" i="16"/>
  <c r="S41" i="16"/>
  <c r="S37" i="16"/>
  <c r="S21" i="16"/>
  <c r="T15" i="16"/>
  <c r="S14" i="16"/>
  <c r="S4" i="15"/>
  <c r="T4" i="15"/>
  <c r="S22" i="16"/>
  <c r="T22" i="16"/>
  <c r="S4" i="11"/>
  <c r="S10" i="11" s="1"/>
  <c r="T58" i="16"/>
  <c r="S50" i="16"/>
  <c r="S32" i="16"/>
  <c r="S30" i="16"/>
  <c r="S26" i="16"/>
  <c r="S8" i="16"/>
  <c r="T2" i="16"/>
  <c r="Q70" i="16"/>
  <c r="S2" i="15"/>
  <c r="I22" i="15"/>
  <c r="I35" i="13"/>
  <c r="S7" i="13"/>
  <c r="Q87" i="21"/>
  <c r="I10" i="11"/>
  <c r="T11" i="16"/>
  <c r="Q22" i="15"/>
  <c r="T3" i="13"/>
  <c r="M53" i="13"/>
  <c r="T12" i="19"/>
  <c r="T5" i="19"/>
  <c r="Q62" i="19"/>
  <c r="T13" i="15"/>
  <c r="T29" i="13"/>
  <c r="T53" i="19"/>
  <c r="S53" i="19"/>
  <c r="S19" i="16"/>
  <c r="I62" i="19"/>
  <c r="S3" i="19"/>
  <c r="Q21" i="26"/>
  <c r="T4" i="26"/>
  <c r="S2" i="21"/>
  <c r="I87" i="21"/>
  <c r="T9" i="15"/>
  <c r="T5" i="24"/>
  <c r="S5" i="24"/>
  <c r="Q24" i="25"/>
  <c r="T2" i="25"/>
  <c r="S2" i="25"/>
  <c r="S14" i="19"/>
  <c r="I14" i="24"/>
  <c r="S2" i="24"/>
  <c r="Q4" i="23"/>
  <c r="T3" i="23"/>
  <c r="S4" i="26"/>
  <c r="T34" i="19"/>
  <c r="I26" i="24"/>
  <c r="T15" i="13"/>
  <c r="S63" i="16"/>
  <c r="T63" i="16"/>
  <c r="T36" i="19"/>
  <c r="I46" i="25"/>
  <c r="T74" i="21"/>
  <c r="Q14" i="24"/>
  <c r="T2" i="24"/>
  <c r="S10" i="24"/>
  <c r="T10" i="24"/>
  <c r="I21" i="26"/>
  <c r="S2" i="26"/>
  <c r="T50" i="19"/>
  <c r="T32" i="13"/>
  <c r="T9" i="18"/>
  <c r="T20" i="19"/>
  <c r="T41" i="19"/>
  <c r="S11" i="24"/>
  <c r="T11" i="24"/>
  <c r="T15" i="26"/>
  <c r="S15" i="26"/>
  <c r="T31" i="19"/>
  <c r="T37" i="19"/>
  <c r="T11" i="19"/>
  <c r="T13" i="13"/>
  <c r="S2" i="23"/>
  <c r="S4" i="23" s="1"/>
  <c r="I4" i="23"/>
  <c r="T4" i="24"/>
  <c r="S4" i="24"/>
  <c r="I44" i="26"/>
  <c r="T21" i="19"/>
  <c r="T60" i="16"/>
  <c r="S67" i="16"/>
  <c r="T12" i="24"/>
  <c r="S12" i="24"/>
  <c r="T14" i="26"/>
  <c r="S14" i="26"/>
  <c r="T42" i="19"/>
  <c r="T3" i="18"/>
  <c r="T7" i="19"/>
  <c r="Q26" i="35"/>
  <c r="I21" i="28" s="1"/>
  <c r="S21" i="34"/>
  <c r="H26" i="35"/>
  <c r="I5" i="35"/>
  <c r="S5" i="35" s="1"/>
  <c r="S15" i="35"/>
  <c r="S2" i="34"/>
  <c r="T2" i="34"/>
  <c r="T14" i="34"/>
  <c r="S14" i="34"/>
  <c r="S6" i="19"/>
  <c r="S2" i="33"/>
  <c r="I19" i="33"/>
  <c r="Q19" i="33"/>
  <c r="T2" i="33"/>
  <c r="T10" i="35"/>
  <c r="T15" i="35"/>
  <c r="T8" i="19"/>
  <c r="T5" i="13"/>
  <c r="Q3" i="34"/>
  <c r="T3" i="34" s="1"/>
  <c r="P35" i="34"/>
  <c r="T10" i="34"/>
  <c r="S10" i="34"/>
  <c r="S20" i="15"/>
  <c r="S9" i="19"/>
  <c r="S6" i="13"/>
  <c r="T5" i="33"/>
  <c r="S5" i="33"/>
  <c r="T17" i="34"/>
  <c r="T5" i="35"/>
  <c r="T8" i="35"/>
  <c r="S20" i="35"/>
  <c r="T20" i="35"/>
  <c r="S17" i="34"/>
  <c r="S8" i="35"/>
  <c r="T68" i="16"/>
  <c r="I8" i="40"/>
  <c r="S8" i="40" s="1"/>
  <c r="H16" i="40"/>
  <c r="Q16" i="40"/>
  <c r="I24" i="28" s="1"/>
  <c r="J24" i="28" s="1"/>
  <c r="T8" i="40"/>
  <c r="S18" i="34"/>
  <c r="S2" i="35"/>
  <c r="T9" i="19"/>
  <c r="T6" i="13"/>
  <c r="S14" i="35"/>
  <c r="T14" i="35"/>
  <c r="S19" i="34"/>
  <c r="S25" i="34"/>
  <c r="S3" i="35"/>
  <c r="S10" i="35"/>
  <c r="I13" i="42"/>
  <c r="S10" i="19"/>
  <c r="S4" i="33"/>
  <c r="S9" i="34"/>
  <c r="P26" i="35"/>
  <c r="I4" i="36"/>
  <c r="I24" i="36" s="1"/>
  <c r="H24" i="36"/>
  <c r="S20" i="34"/>
  <c r="I8" i="34"/>
  <c r="I35" i="34" s="1"/>
  <c r="H11" i="41"/>
  <c r="H13" i="42"/>
  <c r="S12" i="18" l="1"/>
  <c r="I26" i="35"/>
  <c r="L24" i="28"/>
  <c r="J21" i="28"/>
  <c r="P21" i="28" s="1"/>
  <c r="L21" i="28"/>
  <c r="S24" i="25"/>
  <c r="S35" i="13"/>
  <c r="M8" i="28" s="1"/>
  <c r="I8" i="28"/>
  <c r="L8" i="28" s="1"/>
  <c r="S87" i="21"/>
  <c r="M5" i="28" s="1"/>
  <c r="I16" i="40"/>
  <c r="M6" i="28"/>
  <c r="S3" i="34"/>
  <c r="S35" i="34" s="1"/>
  <c r="I12" i="28"/>
  <c r="L12" i="28" s="1"/>
  <c r="I13" i="28"/>
  <c r="L13" i="28" s="1"/>
  <c r="S16" i="40"/>
  <c r="I6" i="28"/>
  <c r="L6" i="28" s="1"/>
  <c r="S19" i="33"/>
  <c r="S62" i="19"/>
  <c r="I7" i="28"/>
  <c r="L7" i="28" s="1"/>
  <c r="I5" i="28"/>
  <c r="L5" i="28" s="1"/>
  <c r="I2" i="28"/>
  <c r="S21" i="26"/>
  <c r="I10" i="28"/>
  <c r="L10" i="28" s="1"/>
  <c r="S70" i="16"/>
  <c r="I3" i="28"/>
  <c r="L3" i="28" s="1"/>
  <c r="M10" i="28"/>
  <c r="S14" i="24"/>
  <c r="M9" i="28"/>
  <c r="Q35" i="34"/>
  <c r="I11" i="28"/>
  <c r="L11" i="28" s="1"/>
  <c r="S26" i="35"/>
  <c r="S22" i="15"/>
  <c r="M12" i="28" l="1"/>
  <c r="M21" i="28"/>
  <c r="I20" i="28"/>
  <c r="M20" i="28"/>
  <c r="N20" i="28" s="1"/>
  <c r="M24" i="28"/>
  <c r="N24" i="28" s="1"/>
  <c r="M7" i="28"/>
  <c r="L2" i="28"/>
  <c r="M2" i="28"/>
  <c r="S26" i="15"/>
  <c r="M3" i="28"/>
  <c r="S77" i="16"/>
  <c r="S79" i="16" s="1"/>
  <c r="S80" i="16" s="1"/>
  <c r="M11" i="28"/>
  <c r="M13" i="28"/>
  <c r="J20" i="28" l="1"/>
  <c r="P20" i="28" s="1"/>
  <c r="L20" i="28"/>
  <c r="N28" i="28"/>
  <c r="P24" i="28"/>
  <c r="Q13" i="36"/>
  <c r="P24" i="36"/>
  <c r="Q24" i="36" l="1"/>
  <c r="I22" i="28" s="1"/>
  <c r="T13" i="36"/>
  <c r="S13" i="36"/>
  <c r="S24" i="36" s="1"/>
  <c r="J22" i="28"/>
  <c r="L22" i="28"/>
  <c r="L28" i="28" s="1"/>
  <c r="I28" i="28"/>
  <c r="M22" i="28" l="1"/>
  <c r="M28" i="28" s="1"/>
  <c r="P22" i="28"/>
  <c r="J28" i="28"/>
</calcChain>
</file>

<file path=xl/sharedStrings.xml><?xml version="1.0" encoding="utf-8"?>
<sst xmlns="http://schemas.openxmlformats.org/spreadsheetml/2006/main" count="6268" uniqueCount="2100">
  <si>
    <t>Id.</t>
  </si>
  <si>
    <t xml:space="preserve">Azienda </t>
  </si>
  <si>
    <t>Presidio</t>
  </si>
  <si>
    <t>U.O.</t>
  </si>
  <si>
    <t>Descrizione</t>
  </si>
  <si>
    <t>Q.tà</t>
  </si>
  <si>
    <t>Importo totale(i.e.)</t>
  </si>
  <si>
    <t>Importo totale(i.i.)</t>
  </si>
  <si>
    <t>ASM</t>
  </si>
  <si>
    <t>P.O. Matera</t>
  </si>
  <si>
    <t>Tutte le UU.OO.</t>
  </si>
  <si>
    <t>Defibrillatori semiautomatici</t>
  </si>
  <si>
    <t>Anestesia e Rianimazione</t>
  </si>
  <si>
    <t>Defibrillatore</t>
  </si>
  <si>
    <t>Ventilatore polmonare</t>
  </si>
  <si>
    <t>Monitor multiparametrico</t>
  </si>
  <si>
    <t>Chirurgia e Pneumologia</t>
  </si>
  <si>
    <t>Sistema per il riconoscimento della ventilazione collaterale interlobare</t>
  </si>
  <si>
    <t xml:space="preserve">Medicina </t>
  </si>
  <si>
    <t>Ecotomografo ed ecotomografo portatile</t>
  </si>
  <si>
    <t>Medicina d'urgenza</t>
  </si>
  <si>
    <t>Ortopedia</t>
  </si>
  <si>
    <t>Fluoroscopio</t>
  </si>
  <si>
    <t>Pneumologia</t>
  </si>
  <si>
    <t>Polisonnigrafo</t>
  </si>
  <si>
    <t>Pronto Soccorso</t>
  </si>
  <si>
    <t>Arredi sanitari</t>
  </si>
  <si>
    <t>Barelle</t>
  </si>
  <si>
    <t>Sale Operatorie</t>
  </si>
  <si>
    <t>Tavolo operatorio sale specialistiche</t>
  </si>
  <si>
    <t>Apparecchio per anestesia</t>
  </si>
  <si>
    <t xml:space="preserve">Elettrobisturi </t>
  </si>
  <si>
    <t>Microscopio operatorio (Oculistica)</t>
  </si>
  <si>
    <t>Litotritore ultrasuoni</t>
  </si>
  <si>
    <t xml:space="preserve">Sale Operatorie </t>
  </si>
  <si>
    <t>Accessori per angiografo</t>
  </si>
  <si>
    <t>Poligrafo</t>
  </si>
  <si>
    <t>Ecotomografo portatile</t>
  </si>
  <si>
    <t>Contropulsatore</t>
  </si>
  <si>
    <t>Radiologia</t>
  </si>
  <si>
    <t>Tomografo assiale computerizzato</t>
  </si>
  <si>
    <t>Piastra ecografica</t>
  </si>
  <si>
    <t xml:space="preserve">Ecotomografo </t>
  </si>
  <si>
    <t>Ecocardiografo</t>
  </si>
  <si>
    <t>Senologia</t>
  </si>
  <si>
    <t>Sistema procedure bioptiche sotto guida ecografica</t>
  </si>
  <si>
    <t>Accessori mammografi</t>
  </si>
  <si>
    <t>Territorio</t>
  </si>
  <si>
    <t>Pneumologia territoriale</t>
  </si>
  <si>
    <t>Test del cammino</t>
  </si>
  <si>
    <t>Spirometro portatile</t>
  </si>
  <si>
    <t>Cabina pletismografica</t>
  </si>
  <si>
    <t>Frigorifero biologico</t>
  </si>
  <si>
    <t>P.O. Policoro</t>
  </si>
  <si>
    <t>Ecotomografo</t>
  </si>
  <si>
    <t>UTIC</t>
  </si>
  <si>
    <t>Centrale di monitoraggio</t>
  </si>
  <si>
    <t>Monitor multiparametrico (con modulo gittata cardiaca)</t>
  </si>
  <si>
    <t>Monitor multiparametrico portatile</t>
  </si>
  <si>
    <t>Totale</t>
  </si>
  <si>
    <t>Importo previsto cadauno(i.e.)</t>
  </si>
  <si>
    <t>Importo totale (i.i.)</t>
  </si>
  <si>
    <t>P.O. Stigliano</t>
  </si>
  <si>
    <t>Lungodegenza</t>
  </si>
  <si>
    <t>O.R.L.</t>
  </si>
  <si>
    <t>Elettrocardiografo</t>
  </si>
  <si>
    <t>Strumentario sala operatoria</t>
  </si>
  <si>
    <t>Importo speso cadauno(i.e.)</t>
  </si>
  <si>
    <t>Radioterapia</t>
  </si>
  <si>
    <t>Acceleratore lineare</t>
  </si>
  <si>
    <t>Radiologia Urgenza</t>
  </si>
  <si>
    <t xml:space="preserve">Apparecchio radiologico multifunzione </t>
  </si>
  <si>
    <t>TAC</t>
  </si>
  <si>
    <t>Sistema motorizzato ortopedia</t>
  </si>
  <si>
    <t>Sistema motorizzato chirurgia orecchio</t>
  </si>
  <si>
    <t>Anatomia patologica</t>
  </si>
  <si>
    <t>Processatore</t>
  </si>
  <si>
    <t>Centralina inclusione</t>
  </si>
  <si>
    <t>Microtomo</t>
  </si>
  <si>
    <t>Sistemi di ventilazione transtracheale</t>
  </si>
  <si>
    <t>Holter pressorio</t>
  </si>
  <si>
    <t>Holter dinamico</t>
  </si>
  <si>
    <t>Medicina</t>
  </si>
  <si>
    <t>Malattie Infettive</t>
  </si>
  <si>
    <t>S.I.T.</t>
  </si>
  <si>
    <t>Frigorifero biologico 200 litri</t>
  </si>
  <si>
    <t>Frigorifero biologico 300 litri</t>
  </si>
  <si>
    <t>Congelatore  - 40 ° C 600 litri</t>
  </si>
  <si>
    <t>Frigoemoteca da 1500 litri</t>
  </si>
  <si>
    <t>Scongelatore plasma</t>
  </si>
  <si>
    <t>Centrifuga refrigerata</t>
  </si>
  <si>
    <t>Agitatore piastrine termostatato</t>
  </si>
  <si>
    <t>Importo totale (i.e.)</t>
  </si>
  <si>
    <t>Risparmio</t>
  </si>
  <si>
    <t>Cardiotocografo</t>
  </si>
  <si>
    <t>Carrello emergenza accessoriato</t>
  </si>
  <si>
    <t>Letto travaglio-Parto</t>
  </si>
  <si>
    <t>Lettino rianimazione</t>
  </si>
  <si>
    <t>Incubatrice da trasporto extraospedaliera</t>
  </si>
  <si>
    <t>Culla</t>
  </si>
  <si>
    <t>Incubatrice</t>
  </si>
  <si>
    <t>Lampada fototerapia</t>
  </si>
  <si>
    <t>Bilirubinometro transcutaneo</t>
  </si>
  <si>
    <t>Bilirubinometro</t>
  </si>
  <si>
    <t>Consultorio</t>
  </si>
  <si>
    <t>Importo base d'asta (i.e.)</t>
  </si>
  <si>
    <t>Data pubblicazione bando</t>
  </si>
  <si>
    <t>Data scadenza offerte</t>
  </si>
  <si>
    <t>Data aggiudicazione provvisoria</t>
  </si>
  <si>
    <t>Data aggiudicazione definitiva</t>
  </si>
  <si>
    <t>RDO/STIPULA</t>
  </si>
  <si>
    <t xml:space="preserve">Ordine </t>
  </si>
  <si>
    <t>CIG</t>
  </si>
  <si>
    <t>Provvedimento di aggiudicazione</t>
  </si>
  <si>
    <t>Consegna</t>
  </si>
  <si>
    <t>Collaudo</t>
  </si>
  <si>
    <t>Determina o Delibera di pagamento</t>
  </si>
  <si>
    <t>Rendicontazione in regione</t>
  </si>
  <si>
    <t>Mandato di pagamento</t>
  </si>
  <si>
    <t>2482676 del 5/11/2015</t>
  </si>
  <si>
    <t>Master: 6036217BD6
Derivato: 6462663637</t>
  </si>
  <si>
    <t>/</t>
  </si>
  <si>
    <t>929576 dell'11/11/2015</t>
  </si>
  <si>
    <t>638824635E</t>
  </si>
  <si>
    <t>Delibera n. 1489 del 4/11/2015</t>
  </si>
  <si>
    <t>7828 del 12/05/2015</t>
  </si>
  <si>
    <t>Z4014809BB</t>
  </si>
  <si>
    <t>Delibera n. 708 del 30/04/2015</t>
  </si>
  <si>
    <t>13291 del 9/01/2015</t>
  </si>
  <si>
    <t>Delibera n. 1443 del 16/12/2014</t>
  </si>
  <si>
    <t>7354 del 01/07/2015</t>
  </si>
  <si>
    <t>810813 del 4/06/2015</t>
  </si>
  <si>
    <t>Z31118462F</t>
  </si>
  <si>
    <t>06/07/2015
3/11/2015</t>
  </si>
  <si>
    <t>Determina n. 1796 del 29/07/2015</t>
  </si>
  <si>
    <t>11074 del 28/09/2015</t>
  </si>
  <si>
    <t>620404 del 17/02/2015</t>
  </si>
  <si>
    <t>ZD71133896</t>
  </si>
  <si>
    <t>620453 del 17/02/2015</t>
  </si>
  <si>
    <t>Z171133EAF</t>
  </si>
  <si>
    <t>Determina n. 1788 del 29/07/2015</t>
  </si>
  <si>
    <t>11072 del 28/09/2015</t>
  </si>
  <si>
    <t>634601 del 3/03/2015</t>
  </si>
  <si>
    <t>Z2E115CBFE</t>
  </si>
  <si>
    <t>Determina n. 1200 del 3/06/2015</t>
  </si>
  <si>
    <t>7088 del 26/06/2015</t>
  </si>
  <si>
    <t>640522 del 10/03/2015</t>
  </si>
  <si>
    <t>Z5B112A087</t>
  </si>
  <si>
    <t>Delibera n. 434 del 13/03/2015</t>
  </si>
  <si>
    <t>770760 del 26/03/2015</t>
  </si>
  <si>
    <t>Z2F13839B2</t>
  </si>
  <si>
    <t>Determina n. 2988 del 1/12/2015</t>
  </si>
  <si>
    <t>15415 del 17/12/2015</t>
  </si>
  <si>
    <t>2015</t>
  </si>
  <si>
    <t>632578179D</t>
  </si>
  <si>
    <t>852319 del 26/06/2015</t>
  </si>
  <si>
    <t>62775405E2</t>
  </si>
  <si>
    <t>16/07/2015                    28/07/2015 (consegna fantoccio)    30/07/2015                                  25/08/2015</t>
  </si>
  <si>
    <t>Determina n. 2341 del 06/10/2015</t>
  </si>
  <si>
    <t>854479 del 08/07/2015</t>
  </si>
  <si>
    <t>627907154E</t>
  </si>
  <si>
    <t>Determina n. 2762 del 10/11/2015</t>
  </si>
  <si>
    <t>Z3514C686C</t>
  </si>
  <si>
    <t>948040 del 17/11/2015</t>
  </si>
  <si>
    <t>6404504BE2</t>
  </si>
  <si>
    <t>Determina n. 2758 del 10/11/2015</t>
  </si>
  <si>
    <t>902778 del 14/10/2015</t>
  </si>
  <si>
    <t>720017 del 04/02/2015</t>
  </si>
  <si>
    <t>Z07121CA1D</t>
  </si>
  <si>
    <t>62829305DA</t>
  </si>
  <si>
    <t>Determina n. 2669 del 05/11/2015</t>
  </si>
  <si>
    <t>890412 del 25/09/2015</t>
  </si>
  <si>
    <t>Z1C154D1A8</t>
  </si>
  <si>
    <t>856354 del 01/07/2015</t>
  </si>
  <si>
    <t>Z0114CEB84</t>
  </si>
  <si>
    <t>884727 del 25/09/2015</t>
  </si>
  <si>
    <t>Z9F154D3A1</t>
  </si>
  <si>
    <t>894962 del 02/11/2015</t>
  </si>
  <si>
    <t>Z151586096</t>
  </si>
  <si>
    <t>851439 del 06/07/2015</t>
  </si>
  <si>
    <t>6273401E43</t>
  </si>
  <si>
    <t>Determina n. 2671 del 05/11/2015</t>
  </si>
  <si>
    <t>967813 del 05/11/2015</t>
  </si>
  <si>
    <t>Z8D1672739</t>
  </si>
  <si>
    <t>6445554F69</t>
  </si>
  <si>
    <t>2016</t>
  </si>
  <si>
    <t>Importo previsto cadauno (i.e.)</t>
  </si>
  <si>
    <t>Armadi spogliatoi</t>
  </si>
  <si>
    <t>Frigoriferi, congelatori, frigoemototeche</t>
  </si>
  <si>
    <t>Lavapadelle</t>
  </si>
  <si>
    <t>Letti degenza</t>
  </si>
  <si>
    <t>Lampada scialitica</t>
  </si>
  <si>
    <t>Criostato</t>
  </si>
  <si>
    <t>Colonna endoscopica</t>
  </si>
  <si>
    <t>A.S.I. - Ematologia</t>
  </si>
  <si>
    <t>Poltrone terapia</t>
  </si>
  <si>
    <t>Cardiologia</t>
  </si>
  <si>
    <t>Endoscopia Digestiva</t>
  </si>
  <si>
    <t>Malattie infettive</t>
  </si>
  <si>
    <t>Medicina d'Urgenza</t>
  </si>
  <si>
    <t>Sistema monitoraggio SEPSI</t>
  </si>
  <si>
    <t>Medicina Fisica e Riabilitazione</t>
  </si>
  <si>
    <t>Sistemi per trattamento disfagia</t>
  </si>
  <si>
    <t>Medicina nucleare</t>
  </si>
  <si>
    <t>Gamma Camera SPECT-TC</t>
  </si>
  <si>
    <t>Neonatologia</t>
  </si>
  <si>
    <t>Apparecchio otoemissioni acustiche</t>
  </si>
  <si>
    <t>Oculistica</t>
  </si>
  <si>
    <t>Elettromiografo</t>
  </si>
  <si>
    <t>Cabina silente</t>
  </si>
  <si>
    <t>Portatile per radiografia</t>
  </si>
  <si>
    <t>Portatile per radioscopia</t>
  </si>
  <si>
    <t xml:space="preserve">Sistema dissezione ultrasuoni </t>
  </si>
  <si>
    <t>Laser a tullio</t>
  </si>
  <si>
    <t xml:space="preserve">Lampada scialitica </t>
  </si>
  <si>
    <t>Letti a bilancia</t>
  </si>
  <si>
    <t>Colonna Endoscopica</t>
  </si>
  <si>
    <t>Centrale monitoraggio</t>
  </si>
  <si>
    <t xml:space="preserve">Test da sforzo </t>
  </si>
  <si>
    <t>Tapis roulant</t>
  </si>
  <si>
    <t>Audiometro</t>
  </si>
  <si>
    <t>Videoculoscopio</t>
  </si>
  <si>
    <t>Videonistagmoscopio</t>
  </si>
  <si>
    <t>Sistema esami elettrofisiologici ABR, BERA,..</t>
  </si>
  <si>
    <t>Otocalorimetro</t>
  </si>
  <si>
    <t>Colonna per fibrolaringoscopia e laringostroboscopio</t>
  </si>
  <si>
    <t>Strumentario visita ambulatoriale</t>
  </si>
  <si>
    <t>Microscopio ambulatoriale</t>
  </si>
  <si>
    <t>Laser diodi</t>
  </si>
  <si>
    <t>Trapani chirurgia orecchio</t>
  </si>
  <si>
    <t>Sorgente per luce operatoria frontale</t>
  </si>
  <si>
    <t>Sala Operatoria</t>
  </si>
  <si>
    <t>Elettrobisturi</t>
  </si>
  <si>
    <t xml:space="preserve">Sistema laparoscopico per interventi di chirurgia generale </t>
  </si>
  <si>
    <t>P.O. Tinchi</t>
  </si>
  <si>
    <t>Endocrinologia</t>
  </si>
  <si>
    <t>Odontoiatria</t>
  </si>
  <si>
    <t>Riunito odontoiatrico</t>
  </si>
  <si>
    <t>16/12/2014</t>
  </si>
  <si>
    <t>12/12/2014</t>
  </si>
  <si>
    <t>9/11/2015</t>
  </si>
  <si>
    <t>30/11/2015</t>
  </si>
  <si>
    <t>22/12/2015</t>
  </si>
  <si>
    <t>30/12/2015</t>
  </si>
  <si>
    <t>30/04/2015</t>
  </si>
  <si>
    <t>18/12/2014</t>
  </si>
  <si>
    <t>04/03/2015</t>
  </si>
  <si>
    <t>23/09/2015</t>
  </si>
  <si>
    <t>5/11/2015</t>
  </si>
  <si>
    <t>Delibera n. 1818 del 30/12/2015</t>
  </si>
  <si>
    <t>64653374DF</t>
  </si>
  <si>
    <t>Delibera n. 1817 del 30/12/2015</t>
  </si>
  <si>
    <t>6445319D7C</t>
  </si>
  <si>
    <t>26/10/2015</t>
  </si>
  <si>
    <t>11/11/2015</t>
  </si>
  <si>
    <t>09/03/2015</t>
  </si>
  <si>
    <t>23/03/2015</t>
  </si>
  <si>
    <t>26/03/2015</t>
  </si>
  <si>
    <t>13/01/2015</t>
  </si>
  <si>
    <t>15/11/2014</t>
  </si>
  <si>
    <t>973276 del 11/01/2016</t>
  </si>
  <si>
    <t>975909 del 11/01/2016</t>
  </si>
  <si>
    <t>14473 del 01/12/2015; 14474 del 01/12/2015;</t>
  </si>
  <si>
    <t>Determina n. 13 del 7/01/2016</t>
  </si>
  <si>
    <t>Z0110F0A15</t>
  </si>
  <si>
    <t>Determina n. 1199 del 3/06/2015</t>
  </si>
  <si>
    <t>ZBA10F09F1</t>
  </si>
  <si>
    <t>Risparmio %</t>
  </si>
  <si>
    <t>Risparmio%</t>
  </si>
  <si>
    <t>755341 del 22/04/2015</t>
  </si>
  <si>
    <t>6143441FE0</t>
  </si>
  <si>
    <t>769798 del 19/05/2015</t>
  </si>
  <si>
    <t>Z1812C36A1</t>
  </si>
  <si>
    <t>Z7212C470B</t>
  </si>
  <si>
    <t>Determina 2538 del 22/10/2015</t>
  </si>
  <si>
    <t>ZD212C3D9F</t>
  </si>
  <si>
    <t>Determina 1807 del 30/07/2015</t>
  </si>
  <si>
    <t>Z6A133E8EC</t>
  </si>
  <si>
    <t>Determina 2757 del 10/11/2015</t>
  </si>
  <si>
    <t>Z9D16726A2</t>
  </si>
  <si>
    <t>859923 del 24/06/2015</t>
  </si>
  <si>
    <t>1036961 del 11/01/2016</t>
  </si>
  <si>
    <t>Z111748CD1</t>
  </si>
  <si>
    <t>823186 del 17/07/2015</t>
  </si>
  <si>
    <t>6241041DF2</t>
  </si>
  <si>
    <t>Z13112A0BB</t>
  </si>
  <si>
    <t>Z1316BD6CA</t>
  </si>
  <si>
    <t>Determina n. 442 del 26/02/2016</t>
  </si>
  <si>
    <t>1093 del 2/02/2016</t>
  </si>
  <si>
    <t>Moduli NIBP cardiotocografi</t>
  </si>
  <si>
    <t>Pediatria e Neonatologia</t>
  </si>
  <si>
    <t>Ostetricia e Ginecologia</t>
  </si>
  <si>
    <t>Stigliano, Tinchi e Tricarico</t>
  </si>
  <si>
    <t>01/09/2015                             
 02/09/2015
25/09/2015</t>
  </si>
  <si>
    <t>04/09/2015
06/10/2015
13/10/2015</t>
  </si>
  <si>
    <t>P.O. Matera e P.O. Policoro</t>
  </si>
  <si>
    <t>P.O. Matera e P.O Policoro</t>
  </si>
  <si>
    <t>Matera e Policoro</t>
  </si>
  <si>
    <t>Sonda e guida per biopsia ecotomografo</t>
  </si>
  <si>
    <t>Sistema multipresa per incubatrice da trasporto extraospedaliera</t>
  </si>
  <si>
    <t>21/05/2015
02/06/2015
10/06/2015
23/06/2015</t>
  </si>
  <si>
    <t>Sistema miscelazione gas medicali</t>
  </si>
  <si>
    <t>Pannelli radianti</t>
  </si>
  <si>
    <t>Pneumologia e Pneumologia territoriale</t>
  </si>
  <si>
    <t>Chirurgia</t>
  </si>
  <si>
    <t>Impedenzometro</t>
  </si>
  <si>
    <t>Pronto Soccorso, Sala Operatoria</t>
  </si>
  <si>
    <t>852260 del 16/06/2015</t>
  </si>
  <si>
    <t>Z4314C6941</t>
  </si>
  <si>
    <t>Stipula del 22/06/2015</t>
  </si>
  <si>
    <t>Anno Aggiudicazione</t>
  </si>
  <si>
    <t>Determina n. 47 del 18/01/2016</t>
  </si>
  <si>
    <t>Determina n. 2937 del 26/11/2015</t>
  </si>
  <si>
    <t>Anno aggiudicazione</t>
  </si>
  <si>
    <t>Delibera n. 1046 del 15/07/2015</t>
  </si>
  <si>
    <t>Determina n. 791 del 7/04/2016</t>
  </si>
  <si>
    <t>Poliambulatori</t>
  </si>
  <si>
    <t>Ergometro a manovella</t>
  </si>
  <si>
    <t>Determina n. 46 del 18/01/2016</t>
  </si>
  <si>
    <t>Determina n. 719 del 30/03/2016</t>
  </si>
  <si>
    <t>4724 del 12/04/2016</t>
  </si>
  <si>
    <t>3522 del 22/03/2016</t>
  </si>
  <si>
    <t>Deliberazione n. 1500 del 5/11/2015 
(S. Carlo)
Delibera n. 653 del 3/05/2016 (ASM)</t>
  </si>
  <si>
    <t>Determina n. 1688 del 27/06/2016</t>
  </si>
  <si>
    <t>Z900D72472</t>
  </si>
  <si>
    <t>Delibera n. 9 del 3/01/2014</t>
  </si>
  <si>
    <t>Determina n. 2750 del 1/10/2014</t>
  </si>
  <si>
    <t>Delibera n. 996 del 9/09/2014</t>
  </si>
  <si>
    <t>541806697F</t>
  </si>
  <si>
    <t>342352 del 10/09/2014</t>
  </si>
  <si>
    <t>Determina n. 613 del 25/03/2015</t>
  </si>
  <si>
    <t>Z870E896FF</t>
  </si>
  <si>
    <t>Delibera n. 566 dell'8/05/2014</t>
  </si>
  <si>
    <t>459934 del 17/04/2014</t>
  </si>
  <si>
    <t>967832 del 5/11/2015</t>
  </si>
  <si>
    <t>ZB91672751</t>
  </si>
  <si>
    <t>Determina n. 775 del 6/04/2016</t>
  </si>
  <si>
    <t>Delibera n. 1027 del 14/07/2015</t>
  </si>
  <si>
    <t>Delibera n. 1393 del 15/10/2015</t>
  </si>
  <si>
    <t>5735988F06</t>
  </si>
  <si>
    <t>Delibera n. 525 del 24/04/2014</t>
  </si>
  <si>
    <t>06/10/2014
16/10/2014
23/10/2014
29/10/2014
6/11/2014
11/11/2014
17/09/2015</t>
  </si>
  <si>
    <t>Delibera n. 1301 del 22/09/2015</t>
  </si>
  <si>
    <t>Determina n. 1342 del 17/05/2016</t>
  </si>
  <si>
    <t>Z0A19169B4</t>
  </si>
  <si>
    <t>ZAE19168CE</t>
  </si>
  <si>
    <t>Determina n. 668 del 25/03/2016</t>
  </si>
  <si>
    <t>ZCF19167E5</t>
  </si>
  <si>
    <t>Delibera n. 740 del 26/05/2016</t>
  </si>
  <si>
    <t>Determina n. 1308 del 16/05/2016</t>
  </si>
  <si>
    <t>Determina n. 1512 dell'8/06/2016</t>
  </si>
  <si>
    <t>Determina n.1882 del 4/08/2015</t>
  </si>
  <si>
    <t xml:space="preserve">992204 del 11/01/2016 </t>
  </si>
  <si>
    <t>64454097C3</t>
  </si>
  <si>
    <t>Determina n. 2759 del 10/11/2015</t>
  </si>
  <si>
    <t>31/08/2015 11/09/2015 28/09/2015 09/10/2015</t>
  </si>
  <si>
    <t>Delibera n. 887 del 16/06/2015</t>
  </si>
  <si>
    <t>6157066B96</t>
  </si>
  <si>
    <t xml:space="preserve">763499 del 24/06/2015 </t>
  </si>
  <si>
    <t>Determina n. 696 del 29/03/2016</t>
  </si>
  <si>
    <t>Determina n. 2909 del 23/11/2015</t>
  </si>
  <si>
    <t>Determina n. 2 del 7/01/2016</t>
  </si>
  <si>
    <t>ZC91927BCO</t>
  </si>
  <si>
    <t xml:space="preserve">Determina n. 1343 del 17/05/2016 </t>
  </si>
  <si>
    <t>ZB31655BD2</t>
  </si>
  <si>
    <t>959955 del 17/12/2015</t>
  </si>
  <si>
    <t>Determina n. 707 del 29/03/2016</t>
  </si>
  <si>
    <t>6639225DC7</t>
  </si>
  <si>
    <t>Delibera n. 830 del 23/06/2016</t>
  </si>
  <si>
    <t>1153822 del 24/06/2016</t>
  </si>
  <si>
    <t>Delibera n. 657 del 21/04/2015</t>
  </si>
  <si>
    <t>Delibera n. 807 del 22/05/2015</t>
  </si>
  <si>
    <t>852696 del 16/06/2015</t>
  </si>
  <si>
    <t>Determina n. 1246 dell'11/05/2016</t>
  </si>
  <si>
    <t>Z9014BF1CD</t>
  </si>
  <si>
    <t>Delibera n. 1190 del 02/09/2015</t>
  </si>
  <si>
    <t>Delibera n. 966 del 30/06/2015</t>
  </si>
  <si>
    <t>Delibera n. 987 del 08/07/2015</t>
  </si>
  <si>
    <t>Delibera n. 1507 del 09/11/2015</t>
  </si>
  <si>
    <t>Delibera n. 928 del 23/06/2015</t>
  </si>
  <si>
    <t>Delibera n. 1410 del 20/10/2015</t>
  </si>
  <si>
    <t>Delibera n. 974 del 03/07/2015</t>
  </si>
  <si>
    <t>Delibera n. 1392 del 15/10/2015</t>
  </si>
  <si>
    <t>Delibera n. 1824 del 31/12/2015</t>
  </si>
  <si>
    <t>Delibera n. 1825 del 31/12/2015</t>
  </si>
  <si>
    <t>Determina n. 206 del 4/02/2016</t>
  </si>
  <si>
    <t>Delibera n. 1827 del 31/12/2015</t>
  </si>
  <si>
    <t>Delibera n.759 del 15/05/2015</t>
  </si>
  <si>
    <t>726189 del 20/04/2015</t>
  </si>
  <si>
    <t>Determina n. 681 del 29/03/2016</t>
  </si>
  <si>
    <t>966718 del 5/11/2015</t>
  </si>
  <si>
    <t>724037 del 17/02/2015</t>
  </si>
  <si>
    <t>ZA111B2F22</t>
  </si>
  <si>
    <t>Determina n. 1496 del 29/06/2015</t>
  </si>
  <si>
    <t>1135156 del 2/05/2016</t>
  </si>
  <si>
    <t>724038 del 10/03/2015</t>
  </si>
  <si>
    <t>6096673DB4</t>
  </si>
  <si>
    <t>Delibera n. 695 del 29/04/2015</t>
  </si>
  <si>
    <t>Determina n. 2760 del 10/11/2015</t>
  </si>
  <si>
    <t>Determina n. 692 del 29/03/2016</t>
  </si>
  <si>
    <t>2564734 del 1/12/2015</t>
  </si>
  <si>
    <t>6036924348 Master
6498127808 Derivato</t>
  </si>
  <si>
    <t>Delibera n. 1640 del 2/12/2015</t>
  </si>
  <si>
    <t>Determina n. 1190 del 5/05/2016</t>
  </si>
  <si>
    <t>595365250D</t>
  </si>
  <si>
    <t>Delibera n. 1225 del 7/11/2014</t>
  </si>
  <si>
    <t>Determina n. 356 del 23/02/2015</t>
  </si>
  <si>
    <t>Z4614F7684</t>
  </si>
  <si>
    <t>Stipula 850887 del 18/06/2015</t>
  </si>
  <si>
    <t>850887 del 18/06/2015</t>
  </si>
  <si>
    <t>Frigorifero biologico (300 litri)</t>
  </si>
  <si>
    <t>Frigorifero biologico (200 litri)</t>
  </si>
  <si>
    <t>752554 del 03/04/2015</t>
  </si>
  <si>
    <t>Determina n. 700 del 29/03/2016</t>
  </si>
  <si>
    <t>1219 del 4/02/2016</t>
  </si>
  <si>
    <t>11780 del 13/10/2015</t>
  </si>
  <si>
    <t>15178 del 15/12/2015</t>
  </si>
  <si>
    <t>8039 del 31/05/2016</t>
  </si>
  <si>
    <t>1522 dell'11/02/2016</t>
  </si>
  <si>
    <t>7414 del 24/05/2016</t>
  </si>
  <si>
    <t>14270 del 26/11/2015</t>
  </si>
  <si>
    <t>13366 del 12/11/2015</t>
  </si>
  <si>
    <t>745 del 26/01/2016</t>
  </si>
  <si>
    <t>15215 del 15/12/2015</t>
  </si>
  <si>
    <t>1226 del 4/02/2016</t>
  </si>
  <si>
    <t>13355 del 12/11/2015</t>
  </si>
  <si>
    <t>14744 del 4/12/2015</t>
  </si>
  <si>
    <t>5377 del 21/04/2016</t>
  </si>
  <si>
    <t>5380 del 21/04/2016</t>
  </si>
  <si>
    <t>5378 del 21/04/2016</t>
  </si>
  <si>
    <t>13817 del 15/10/2014</t>
  </si>
  <si>
    <t>2684 del 17/03/2015</t>
  </si>
  <si>
    <t>3709 del 14/04/2015</t>
  </si>
  <si>
    <t>5727 del 29/04/2016</t>
  </si>
  <si>
    <t>10834 del 22/09/2015
11419 del 5/10/2015</t>
  </si>
  <si>
    <t>9790 del 27/08/2015</t>
  </si>
  <si>
    <t>14135 del 26/11/2015</t>
  </si>
  <si>
    <t>9385 del 14/08/2015</t>
  </si>
  <si>
    <t>14410 del 30/11/2015</t>
  </si>
  <si>
    <t>5740 del 29/04/2016</t>
  </si>
  <si>
    <t>8738 del 21/06/2016</t>
  </si>
  <si>
    <t>14612 del 3/12/2015</t>
  </si>
  <si>
    <t>5726 del 29/04/2016</t>
  </si>
  <si>
    <t>5398 del 22/04/2016</t>
  </si>
  <si>
    <t>9087 del 5/08/2015</t>
  </si>
  <si>
    <t>7247 del 23/05/2016</t>
  </si>
  <si>
    <t>8146 del 3/06/2016</t>
  </si>
  <si>
    <t>8304 del 7/06/2016</t>
  </si>
  <si>
    <t>9367 del 30/06/2016</t>
  </si>
  <si>
    <t>Delibera n. 1500 del 5/11/2015</t>
  </si>
  <si>
    <t>6352028354</t>
  </si>
  <si>
    <t>891423 del 02/09/2015</t>
  </si>
  <si>
    <t>1006830 del 31/12/2015</t>
  </si>
  <si>
    <t>992314 del 31/12/2015</t>
  </si>
  <si>
    <t>4966 del 12/05/2016</t>
  </si>
  <si>
    <t>12330 del 27/10/2015</t>
  </si>
  <si>
    <t>6166739A00</t>
  </si>
  <si>
    <t>Determina n. 2530 del 12/09/2014</t>
  </si>
  <si>
    <t>13837 del 15/10/2014</t>
  </si>
  <si>
    <t>Stipula 1135156 del 2/05/2016</t>
  </si>
  <si>
    <t>1136763 del 30/05/2016</t>
  </si>
  <si>
    <t>1159025 dell'11/04/2016</t>
  </si>
  <si>
    <t>1128004 dell'11/04/2016</t>
  </si>
  <si>
    <t>Stipula 1128004 dell'11/04/2016</t>
  </si>
  <si>
    <t>1163977 del 30/05/2016</t>
  </si>
  <si>
    <t>Z85193289D</t>
  </si>
  <si>
    <t>Stipula 959955 del 17/12/2015</t>
  </si>
  <si>
    <t>67363503E0</t>
  </si>
  <si>
    <t>Stipula 1159025 dell'11/04/2016</t>
  </si>
  <si>
    <t>Stipula 726189 del 20/04/2015</t>
  </si>
  <si>
    <t>Stipula 967832 del 5/11/2015</t>
  </si>
  <si>
    <t>Stipula 724037 del 17/02/2015</t>
  </si>
  <si>
    <t>Stipula 724038 del 10/03/2015</t>
  </si>
  <si>
    <t>Stipula 752554 del 03/04/2015</t>
  </si>
  <si>
    <t>Stipula 966718 del 5/11/2015</t>
  </si>
  <si>
    <t>Stipula 720017 del 04/02/2015</t>
  </si>
  <si>
    <t>Stipula 852696 del 16/06/2015</t>
  </si>
  <si>
    <t>Stipula 890412 del 25/09/2015</t>
  </si>
  <si>
    <t>Stipula 856354 del 01/07/2015</t>
  </si>
  <si>
    <t>Stipula 884727 del 25/09/2015</t>
  </si>
  <si>
    <t>Stipula 967813 del 05/11/2015</t>
  </si>
  <si>
    <t>658421 del 5/05/2015</t>
  </si>
  <si>
    <t>Delibera n. 741 del 26/05/2016</t>
  </si>
  <si>
    <t>Delibera n. 967 del 30/06/2015</t>
  </si>
  <si>
    <t>Z4B154D38A</t>
  </si>
  <si>
    <t>761351 del 01/06/2015</t>
  </si>
  <si>
    <t>Delibera n. 889 dell'8/07/2016</t>
  </si>
  <si>
    <t>1156329 del 15/07/2016</t>
  </si>
  <si>
    <t>Delibera n. 843 del 24/06/2016</t>
  </si>
  <si>
    <t>Ordine n. 3012681 del 16/06/2016</t>
  </si>
  <si>
    <t>Master 6435592286
Derivato 6728082CE5</t>
  </si>
  <si>
    <t>Delibera n. 842 del 24/06/2016</t>
  </si>
  <si>
    <t>Ordine n. 3050988 del 07/07/2016</t>
  </si>
  <si>
    <t>Master 643558089D
Derivato Z471A8D21A</t>
  </si>
  <si>
    <t>Master 643563994D
Derivato 6720351116
Master 643558089D
Derivato Z0F1A9A775 (kit biopsia)</t>
  </si>
  <si>
    <t>Ordine n. 3051022 del 7/07/2016</t>
  </si>
  <si>
    <t>Master 64356019F1
Derivato ZF41A8D3A1</t>
  </si>
  <si>
    <t>Test da sforzo</t>
  </si>
  <si>
    <t xml:space="preserve">Colonna endoscopica </t>
  </si>
  <si>
    <t>Ecocardiografo trasportabile</t>
  </si>
  <si>
    <t>Monitor multiparametrico  (Antisala, recovery room, portatili per trasporti)</t>
  </si>
  <si>
    <t>Sistema motorizzato per ortopedia</t>
  </si>
  <si>
    <t>Tomosintesi/mammografo</t>
  </si>
  <si>
    <t>Monitor amagnetico per RMN</t>
  </si>
  <si>
    <t>D.S.M.</t>
  </si>
  <si>
    <t>Cyclette</t>
  </si>
  <si>
    <t>Angiografo</t>
  </si>
  <si>
    <t xml:space="preserve">Microscopio </t>
  </si>
  <si>
    <t>Reumatologia</t>
  </si>
  <si>
    <t>Videocapillaroscopio</t>
  </si>
  <si>
    <t>Centrifuga ematocrito</t>
  </si>
  <si>
    <t>Arredi sanitari/fasciatoio</t>
  </si>
  <si>
    <t>Nefroscopio</t>
  </si>
  <si>
    <t>A.S.I. - Ematologia - Oncologia</t>
  </si>
  <si>
    <t>Neurologia</t>
  </si>
  <si>
    <t>Sistema potenziali evocati</t>
  </si>
  <si>
    <t>Sistema trasferimento malati / passa malati</t>
  </si>
  <si>
    <t xml:space="preserve">Urologia </t>
  </si>
  <si>
    <t>Sistema artroscopico per interventi di ortopedia</t>
  </si>
  <si>
    <t>Sistema endoscopico per interventi di chirurgia ginecologica</t>
  </si>
  <si>
    <t>Sistema endoscopico per interventi di chirurgia otologica</t>
  </si>
  <si>
    <t xml:space="preserve">Laser giallo micropulsato </t>
  </si>
  <si>
    <t>Incubatrice da trasporto interno</t>
  </si>
  <si>
    <t>P.M.A.</t>
  </si>
  <si>
    <t>Lettino ginecologico</t>
  </si>
  <si>
    <t>Lampada da visita</t>
  </si>
  <si>
    <t>Microscopio ottico a contrasto di fase</t>
  </si>
  <si>
    <t>Bagnomaria/termoregolatore a secco (termoblock)</t>
  </si>
  <si>
    <t>Centrifuga</t>
  </si>
  <si>
    <t>Pipettatrice</t>
  </si>
  <si>
    <t>Frigoriferi con registrazione certificata temperature</t>
  </si>
  <si>
    <t>Dispensatore</t>
  </si>
  <si>
    <t>Termometro</t>
  </si>
  <si>
    <t>Ph-metro</t>
  </si>
  <si>
    <t>Sistema automatico di identificazione e tracciabilità continua delle cellule (RI Witness), da integrare con la cartella clinica/CUP</t>
  </si>
  <si>
    <t>Sistema endoscopico per interventi di chirurgia urologica</t>
  </si>
  <si>
    <t>ZDD1A96080</t>
  </si>
  <si>
    <t>Z9E1A95F35</t>
  </si>
  <si>
    <t>Sistema automatico per sottovuoto ed immissione formalina</t>
  </si>
  <si>
    <t>1276891 del 3/08/2016</t>
  </si>
  <si>
    <t>1276832 del 3/08/2016</t>
  </si>
  <si>
    <t>Stipula 1276891 del 3/08/2016</t>
  </si>
  <si>
    <t>Stipula 1276832 del 3/08/2016</t>
  </si>
  <si>
    <t>Delibera n. 974 del 27/07/2016</t>
  </si>
  <si>
    <t>Delibera n. 973 del 27/07/2016</t>
  </si>
  <si>
    <t>Sonde per ecotomografo</t>
  </si>
  <si>
    <t>Urologia</t>
  </si>
  <si>
    <t>Litotritore</t>
  </si>
  <si>
    <t>Ausilio riabilitazione ginocchio ed anca</t>
  </si>
  <si>
    <t>Sonda per ecografo</t>
  </si>
  <si>
    <t>O.RL. (Reparto degenza)</t>
  </si>
  <si>
    <t>O.R.L. (Ambulatori)</t>
  </si>
  <si>
    <t>Riunito per visite e medicazioni (completo di aspiratore)</t>
  </si>
  <si>
    <t>O.R.L. (Sala Operatoria)</t>
  </si>
  <si>
    <t>Microscopio operatorio</t>
  </si>
  <si>
    <t>Laser CO2 e diodi</t>
  </si>
  <si>
    <t>Sistema EEG fisso e potenziali evocati</t>
  </si>
  <si>
    <t>Sistema EEG portatile e segnali poligrafici</t>
  </si>
  <si>
    <t>Sistema EMG fisso e segnali poligrafici</t>
  </si>
  <si>
    <t>Nefrologia - CRT</t>
  </si>
  <si>
    <t>Arredi sanitari (degenza, laboratori, ambulatori)</t>
  </si>
  <si>
    <t xml:space="preserve">Seconda consolle refertazione TAC Consip + software + accessori </t>
  </si>
  <si>
    <t>Pompa infusionale amagnetica</t>
  </si>
  <si>
    <t>Workstation refertazione per ecotomografo</t>
  </si>
  <si>
    <t>Accessori per colonna endoscopica</t>
  </si>
  <si>
    <t>Determina n. 2409 del 14/09/2016</t>
  </si>
  <si>
    <t>Determina n. 2455 del 16/09/2016</t>
  </si>
  <si>
    <t>Determina n. 2595 del 28/09/2016</t>
  </si>
  <si>
    <t>ZDE1ABA535</t>
  </si>
  <si>
    <t>ZAE1ABA504</t>
  </si>
  <si>
    <t>827742 del 1/07/2015</t>
  </si>
  <si>
    <t>615646 del 09/12/2014</t>
  </si>
  <si>
    <t>Determina n. 2602 del 29/09/2016</t>
  </si>
  <si>
    <t>13130 del 22/09/2016</t>
  </si>
  <si>
    <t>14016 del 4/10/2016</t>
  </si>
  <si>
    <t>13138 del 22/09/2016</t>
  </si>
  <si>
    <t>Determina n. 2159 dell'8/08/2016</t>
  </si>
  <si>
    <t>Determina n. 1855 dell'11/07/2016</t>
  </si>
  <si>
    <t>10223 del 19/07/2016</t>
  </si>
  <si>
    <t>Determina n. 2067 del 2/08/2016</t>
  </si>
  <si>
    <t>11403 del 4/08/2016</t>
  </si>
  <si>
    <t>Determina n. 1934 del 18/07/2016</t>
  </si>
  <si>
    <t>10909 del 28/07/2016</t>
  </si>
  <si>
    <t>Determina n. 2668 del 6/10/2016</t>
  </si>
  <si>
    <t>14332 del 17/10/2016</t>
  </si>
  <si>
    <t>11499 del 9/08/2016</t>
  </si>
  <si>
    <t>14608 del 21/10/2016</t>
  </si>
  <si>
    <t>Determina n. 2858 del 27/10/2016</t>
  </si>
  <si>
    <t>Delibera n. 1072 del 12/09/2016</t>
  </si>
  <si>
    <t>1261716 del 15/09/2016</t>
  </si>
  <si>
    <t>ZA01B45EAC</t>
  </si>
  <si>
    <t>1328922 del 21/09/2016</t>
  </si>
  <si>
    <t>Delib. 1296 del 08/11/2016</t>
  </si>
  <si>
    <t>Determina n. 2893 del 31/10/2016</t>
  </si>
  <si>
    <t>05/02/2016 11/05/2016 12/05/2016 18/10/2016</t>
  </si>
  <si>
    <t>Determina n. 2670 del 06/10/2016</t>
  </si>
  <si>
    <t>10/06/2016 12/07/2016</t>
  </si>
  <si>
    <t>03/08/2016</t>
  </si>
  <si>
    <t>Determina n. 2848 del 26/10/2016</t>
  </si>
  <si>
    <t>16/06/2016</t>
  </si>
  <si>
    <t>26/09/2016 20/09/2016</t>
  </si>
  <si>
    <t>ZBA1B5057F 6435563A95</t>
  </si>
  <si>
    <t>Deliberazione n. 1344 del 21/11/2016</t>
  </si>
  <si>
    <t>1366703 del 02/11/2016</t>
  </si>
  <si>
    <t>02/11/2016</t>
  </si>
  <si>
    <t>68367443A0</t>
  </si>
  <si>
    <t>68367611A8</t>
  </si>
  <si>
    <t>Z571B14859</t>
  </si>
  <si>
    <t>Z221B149C0</t>
  </si>
  <si>
    <t>Delibera n. 1334 del 17/11/2016</t>
  </si>
  <si>
    <t>685106098E</t>
  </si>
  <si>
    <t>679428120D</t>
  </si>
  <si>
    <t>678707791D</t>
  </si>
  <si>
    <t>07/07/2016</t>
  </si>
  <si>
    <t>14331 del 17/10/2016</t>
  </si>
  <si>
    <t>15029 del 28/10/2016</t>
  </si>
  <si>
    <t>15496 del 10/11/2016</t>
  </si>
  <si>
    <t>15536 del 10/11/2016</t>
  </si>
  <si>
    <t>Determina n. 980 del 20/04/2016</t>
  </si>
  <si>
    <t>862550 del 09/06/2015</t>
  </si>
  <si>
    <t>Z2A14807B9</t>
  </si>
  <si>
    <t>Delibera n. 988 del 08/07/2015</t>
  </si>
  <si>
    <t>Determina n. 2516 del 22/10/2015</t>
  </si>
  <si>
    <t>12154 del 23/10/2015</t>
  </si>
  <si>
    <t>862522 del 03/07/2015</t>
  </si>
  <si>
    <t>Z4814E442B</t>
  </si>
  <si>
    <t>Delibera n. 1066 del 22/07/2015</t>
  </si>
  <si>
    <t>Determina n. 3097 del 15/12/2015</t>
  </si>
  <si>
    <t>15370 del 17/12/2015</t>
  </si>
  <si>
    <t>6490 del 10/05/2016</t>
  </si>
  <si>
    <t>11/07/2016 29/07/2016 30/08/2016</t>
  </si>
  <si>
    <t>28/06/2016 
22/12/2016</t>
  </si>
  <si>
    <t>Delibera n. 1826 del 31/12/2015</t>
  </si>
  <si>
    <t>Z2F10F02DF</t>
  </si>
  <si>
    <t>Deliberazione n. 1360 del 24/11/2016</t>
  </si>
  <si>
    <t>Delibera n. 987 del 29/07/2016 (gara infruttuosa)                       Delibera n. 1335 del 17/11/2016 CIG 67897284CB</t>
  </si>
  <si>
    <t>P.O. Tricarico</t>
  </si>
  <si>
    <t>Sonda per ecotomografo</t>
  </si>
  <si>
    <t>P.O. Matera e Presidio di Stigliano</t>
  </si>
  <si>
    <t>Sonda cardiologica per ecotomografo</t>
  </si>
  <si>
    <t>Aggiornamento microscopio (telecamera)</t>
  </si>
  <si>
    <t>Tomografo ad impedenza elettrica</t>
  </si>
  <si>
    <t>Monitor cerebrale neonatale</t>
  </si>
  <si>
    <t>Sistema informatico per centralizzazione dispositivi Laboratorio Neurofisiopatologia</t>
  </si>
  <si>
    <t>Sistema holter</t>
  </si>
  <si>
    <t>Dermatologia</t>
  </si>
  <si>
    <t>Lampada per terapia fotodinamica</t>
  </si>
  <si>
    <t>Sistema riduzione dose per TC</t>
  </si>
  <si>
    <t>Prot. n. 20160105919 del 30/12/2016</t>
  </si>
  <si>
    <t>Determina n. 483 del 28/02/2017</t>
  </si>
  <si>
    <t>14/12/2016 11/01/2017</t>
  </si>
  <si>
    <t>07/02/2017 09/02/2017</t>
  </si>
  <si>
    <t>Determina n. 33 del 05/01/2017</t>
  </si>
  <si>
    <t xml:space="preserve">66392209A8 (gara infruttuosa)
67897284CB    </t>
  </si>
  <si>
    <t>1483787 del 26/01/2017</t>
  </si>
  <si>
    <t>Z921D18D03</t>
  </si>
  <si>
    <t>Stipula n. 1483787 del 26/01/2017</t>
  </si>
  <si>
    <t>Determina n. 537 del 03/03/2017</t>
  </si>
  <si>
    <t>Determina n. 46 del 12/01/2017</t>
  </si>
  <si>
    <t>Ordine n. 3170920 del 26/09/2016                         Ordine n. 3158933 del 20/09/2016</t>
  </si>
  <si>
    <t>Determina n. 2158 del 08/08/2016                  Determina n. 629 del 13/03/2017                   (pagamento kit per biopsia)</t>
  </si>
  <si>
    <t>Ordine n. 2998900 del 10/06/2016
Ordine n. 3059654 del 12/07/2016                            (kit biopsia)</t>
  </si>
  <si>
    <t>Determina n. 828 del 04/04/2017</t>
  </si>
  <si>
    <t>Delibera n. 270 del 20/03/2017</t>
  </si>
  <si>
    <t>Z181C01782</t>
  </si>
  <si>
    <t>Delibera n. 319 del 04/04/2017</t>
  </si>
  <si>
    <t>Determina n. 927 del 13/04/2017</t>
  </si>
  <si>
    <t>Determina n. 846 del 04/04/2017</t>
  </si>
  <si>
    <t>6639227F6D</t>
  </si>
  <si>
    <t>Determina n. 847 del 04/04/2017</t>
  </si>
  <si>
    <t>2525 del 06/03/2017</t>
  </si>
  <si>
    <t>3085 del 21/03/2017</t>
  </si>
  <si>
    <t>4476 del 14/04/2017</t>
  </si>
  <si>
    <t>4737 del 24/04/2017</t>
  </si>
  <si>
    <t>Determina n. 1070 del 04/05/2017</t>
  </si>
  <si>
    <t xml:space="preserve">18/04/2016
26/09/2016         </t>
  </si>
  <si>
    <t>24/03/2016
01/08/2016</t>
  </si>
  <si>
    <t>19/11/2016                                 21/11/2016</t>
  </si>
  <si>
    <t>Delibera n. 1443 del 15/12/2016</t>
  </si>
  <si>
    <t>21/09/2016</t>
  </si>
  <si>
    <t>Z0B1DF7BD9</t>
  </si>
  <si>
    <t>Z6F1DF7B59</t>
  </si>
  <si>
    <t>Chirurgia Vascolare</t>
  </si>
  <si>
    <t>Z6F1DF7BD9</t>
  </si>
  <si>
    <t>Sw RMN per studi cardiaci pazienti talassemici</t>
  </si>
  <si>
    <t>ZC11E21699</t>
  </si>
  <si>
    <t>ZE61E8F2C9</t>
  </si>
  <si>
    <t>Determina n. 461 del 29/02/2016
Determina n. 681 del 29/03/2016</t>
  </si>
  <si>
    <t>5556 del 11/05/2017</t>
  </si>
  <si>
    <t>837 del 26/01/2017</t>
  </si>
  <si>
    <t>838 del 26/01/2017</t>
  </si>
  <si>
    <t>4738 del 24/04/2017</t>
  </si>
  <si>
    <t>4475 del 14/04/2017</t>
  </si>
  <si>
    <t>Determina n. 1057 del 03/05/2017</t>
  </si>
  <si>
    <t>69086362C8</t>
  </si>
  <si>
    <t>3384694/2016</t>
  </si>
  <si>
    <t>Determina n. 1138 del 10/05/2017</t>
  </si>
  <si>
    <t>Delibera n. 26 del 12/01/2017</t>
  </si>
  <si>
    <t>Delibera n. 1442 del 15/12/2016</t>
  </si>
  <si>
    <t>26/01/2017</t>
  </si>
  <si>
    <t>08/02/2017 10/05/2017</t>
  </si>
  <si>
    <t>26/01/2017 10/04/2017</t>
  </si>
  <si>
    <t>7081559F57</t>
  </si>
  <si>
    <t>1421281 del 22/03/2017</t>
  </si>
  <si>
    <t>22/03/2017</t>
  </si>
  <si>
    <t>1538424 del 18/04/2017</t>
  </si>
  <si>
    <t>18/04/2017</t>
  </si>
  <si>
    <t>ZEB1DF8F0B</t>
  </si>
  <si>
    <t>1558267 del 10/05/2017</t>
  </si>
  <si>
    <t>10/05/2017</t>
  </si>
  <si>
    <t>1502930 del 06/04/2017</t>
  </si>
  <si>
    <t>06/04/2017</t>
  </si>
  <si>
    <t>Z691D69AF7</t>
  </si>
  <si>
    <t>Delibarazione n. 388 del 26/04/2017</t>
  </si>
  <si>
    <t>Determina n. 1883 del 24/07/2017</t>
  </si>
  <si>
    <t>Determina n. 1882 del 24/07/2017</t>
  </si>
  <si>
    <t>1561139 del 13/07/2017</t>
  </si>
  <si>
    <t>13/07/2017</t>
  </si>
  <si>
    <t>ZB51E487D8</t>
  </si>
  <si>
    <t>Delibera n. 606 del 20/06/2017</t>
  </si>
  <si>
    <t>30/02/2017</t>
  </si>
  <si>
    <t>Z891CBDA97</t>
  </si>
  <si>
    <t>Determina n. 1335 del 30/05/2017</t>
  </si>
  <si>
    <t>15/06/2017</t>
  </si>
  <si>
    <t>05/04/2017 11/05/2017 23/05/2017</t>
  </si>
  <si>
    <t>20/07/2017                                  28/07/2017</t>
  </si>
  <si>
    <t>Stipula 1558267 del 10/05/2017</t>
  </si>
  <si>
    <t>08/05/2017                             11/05/2017</t>
  </si>
  <si>
    <t>20/06/2016                                  21/06/2016
24/11/2016</t>
  </si>
  <si>
    <t>Determina n. 2046 del 17/08/2017</t>
  </si>
  <si>
    <t>Determina n. 2127 del 28/08/2017</t>
  </si>
  <si>
    <t>Determina n. 2047 del 17/08/2017</t>
  </si>
  <si>
    <t>Determina n. 2056 del 17/08/2017</t>
  </si>
  <si>
    <t>1550820 del 26/04/2017</t>
  </si>
  <si>
    <t>26/04/2017</t>
  </si>
  <si>
    <t>Determina n. 2134 del 28/08/2017</t>
  </si>
  <si>
    <t>9694 del 03/08/2017</t>
  </si>
  <si>
    <t>10715 del 05/09/2017</t>
  </si>
  <si>
    <t>9688 del 03/08/2017</t>
  </si>
  <si>
    <t>6639 del 30/05/2017</t>
  </si>
  <si>
    <t>5488 del 09/05/2017</t>
  </si>
  <si>
    <t>10913 del 07/09/2017</t>
  </si>
  <si>
    <t>10714 del 05/09/2017</t>
  </si>
  <si>
    <t>10626 del 04/09/2017</t>
  </si>
  <si>
    <t>Determina n. 2292 del 18/09/2017</t>
  </si>
  <si>
    <t>Determina n. 2550 del 11/10/2017</t>
  </si>
  <si>
    <t>Sw mezzo di contrasto</t>
  </si>
  <si>
    <t>Licenza doppio connettore</t>
  </si>
  <si>
    <t>Z851FA508F</t>
  </si>
  <si>
    <t>1658118 del 06/10/2017</t>
  </si>
  <si>
    <t>06/10/2017</t>
  </si>
  <si>
    <t>Laboratorio Analisi</t>
  </si>
  <si>
    <t>1647842 del 31/10/2017</t>
  </si>
  <si>
    <t>Z761F777F3</t>
  </si>
  <si>
    <t>15/09/2017 22/11/2017</t>
  </si>
  <si>
    <t>Determina n. 3203 del 12/12/2017</t>
  </si>
  <si>
    <t>1757157 del 03/12/2017</t>
  </si>
  <si>
    <t>03/12/2017</t>
  </si>
  <si>
    <t>Determina n. 3351 del 21/12/2017</t>
  </si>
  <si>
    <t>Determina n. 121 del 19/01/2018</t>
  </si>
  <si>
    <t>Descrizione finanziamenti</t>
  </si>
  <si>
    <t>CUP</t>
  </si>
  <si>
    <t>D.G.R. di riferimento</t>
  </si>
  <si>
    <t>Importo residuo</t>
  </si>
  <si>
    <t>Tecnologie 1</t>
  </si>
  <si>
    <t>D16J15000400006</t>
  </si>
  <si>
    <t>Tecnologie 2</t>
  </si>
  <si>
    <t xml:space="preserve">D96G14002000001 </t>
  </si>
  <si>
    <t>Pronto Soccorso Territoriale</t>
  </si>
  <si>
    <t>D96G15001790002</t>
  </si>
  <si>
    <t>Fondi SIT</t>
  </si>
  <si>
    <t>D16G15018770002</t>
  </si>
  <si>
    <t>D98I16000400003</t>
  </si>
  <si>
    <t>D98I16000410003</t>
  </si>
  <si>
    <t>D14E17000720002</t>
  </si>
  <si>
    <t>Struttura penitenziaria</t>
  </si>
  <si>
    <t>D18I170006000002</t>
  </si>
  <si>
    <t>Determina 802/2017</t>
  </si>
  <si>
    <t>Congelatori</t>
  </si>
  <si>
    <t>Abbattitore rapido</t>
  </si>
  <si>
    <t>11/12/2017                              21/12/2017                                  05/02/2018</t>
  </si>
  <si>
    <t>Determina n. 355 del 23/02/2018</t>
  </si>
  <si>
    <t>Determina n. 241 del 08/02/2018</t>
  </si>
  <si>
    <t>Determina n. 3135 del 07-12-2017</t>
  </si>
  <si>
    <t>12/07/2017 
16/10/2017</t>
  </si>
  <si>
    <t>03/03/2017                           26/05/2017                                29/05/2017                              31/05/2017                          22/06/2017                                   01/06/2017                                17/07/2017</t>
  </si>
  <si>
    <t>11501 del 09/08/2016                   3112 del 22/03/2017</t>
  </si>
  <si>
    <t>Z672096567</t>
  </si>
  <si>
    <t>Determina n. 64 del 10/01/2018</t>
  </si>
  <si>
    <t>ZC4229A290</t>
  </si>
  <si>
    <t>16995 del 21/12/2017</t>
  </si>
  <si>
    <t>13692 del 30/10/2017</t>
  </si>
  <si>
    <t>16333 del 14/12/2017</t>
  </si>
  <si>
    <t>Z101A5B7CE</t>
  </si>
  <si>
    <t>Determina n. 2702 del 12/10/2016</t>
  </si>
  <si>
    <t>15208 del 31/10/2016</t>
  </si>
  <si>
    <t>1255062 del 29/06/2016</t>
  </si>
  <si>
    <t>29/06/2016</t>
  </si>
  <si>
    <t>04/07/2016                                                 14/07/2016</t>
  </si>
  <si>
    <t>15255 del 29/11/2017</t>
  </si>
  <si>
    <t>17120 del 22/12/2017</t>
  </si>
  <si>
    <t>23/09/2015 25/09/2015</t>
  </si>
  <si>
    <t>15/07/2015 17/07/2015</t>
  </si>
  <si>
    <t>28/09/2015 22/10/2015</t>
  </si>
  <si>
    <t xml:space="preserve">15/07/2015 17/07/2015 </t>
  </si>
  <si>
    <t xml:space="preserve"> 23/05/2016 07/06/2016</t>
  </si>
  <si>
    <t>02/04/2015 09/06/2015</t>
  </si>
  <si>
    <t>28/07/2015 27/08/2015</t>
  </si>
  <si>
    <t>12/11/2015 09/02/2016 11/02/2016</t>
  </si>
  <si>
    <t>21/05/2015 16/11/2015 17/02/2016</t>
  </si>
  <si>
    <t xml:space="preserve">1127778 del 24/03/2016
1266588 del 30/08/2016 </t>
  </si>
  <si>
    <t>08/07/2016 13/07/2016 15/07/2016</t>
  </si>
  <si>
    <t>166435 del 11/05/2017</t>
  </si>
  <si>
    <t>9/05/2017 12/05/2017</t>
  </si>
  <si>
    <t>Determina n. 1997 del 03/08/2017</t>
  </si>
  <si>
    <t>Determina n. 2277 del 14/09/2017</t>
  </si>
  <si>
    <t>7104665B05</t>
  </si>
  <si>
    <t>1605657 del 19/09/2017</t>
  </si>
  <si>
    <t xml:space="preserve">10/11/2017 13/11/2017 15/11/2017 16/11/2017 20/11/2017  05/12/2017 </t>
  </si>
  <si>
    <t>10907 del 07/09/2017</t>
  </si>
  <si>
    <t>1787202 del 29/03/2018</t>
  </si>
  <si>
    <t>29/03/2018</t>
  </si>
  <si>
    <t>Z8F20FD882</t>
  </si>
  <si>
    <t>Determina n. 575 del 16/03/2018</t>
  </si>
  <si>
    <t>Z28228B662</t>
  </si>
  <si>
    <t>1484503 del 21/02/2017</t>
  </si>
  <si>
    <t>21/02/2017</t>
  </si>
  <si>
    <t>ZF61D1A9ED</t>
  </si>
  <si>
    <t>Determina n. 1935 del 27/07/2017</t>
  </si>
  <si>
    <t>9704 del 03/08/2017</t>
  </si>
  <si>
    <t>2528 del 17/04/2018</t>
  </si>
  <si>
    <t>540 del 08/02/2018</t>
  </si>
  <si>
    <t>537 del 08/02/2018</t>
  </si>
  <si>
    <t>1691 del 22/03/2018</t>
  </si>
  <si>
    <t>Diabetologia</t>
  </si>
  <si>
    <t>Neuropsichiatria Infantile</t>
  </si>
  <si>
    <t>Yag laser</t>
  </si>
  <si>
    <t>Miscelatore per lettino rianimazione</t>
  </si>
  <si>
    <t>Poliambulatori Matera</t>
  </si>
  <si>
    <t>Angio-OCT</t>
  </si>
  <si>
    <t xml:space="preserve">Cappa a flusso  laminare di grado A (classe II) </t>
  </si>
  <si>
    <t>Anestesia e Rianimazione/ Medicina d'urgenza</t>
  </si>
  <si>
    <t>Sistema di monitoraggio (posti letto e centrale)</t>
  </si>
  <si>
    <t>Geriatria/Neurologia</t>
  </si>
  <si>
    <t>Coloratore aerospray</t>
  </si>
  <si>
    <t>Sale Operatorie/ Endoscopia Digestiva</t>
  </si>
  <si>
    <t>Centrifughe refrigerate</t>
  </si>
  <si>
    <t>12/12/2017 05/02/2018</t>
  </si>
  <si>
    <t>Determina n. 911 del 24/04/2018</t>
  </si>
  <si>
    <t>Determina n. 980 del 30/04/2018</t>
  </si>
  <si>
    <t>03/10/2017 24/04/2018</t>
  </si>
  <si>
    <t>26/01/2017                      10/04/2017</t>
  </si>
  <si>
    <t>Determina n. 1244 del 23/03/2018</t>
  </si>
  <si>
    <t>Delibera n. 730 del 24/07/2017</t>
  </si>
  <si>
    <t>3139 del 03/05/2018</t>
  </si>
  <si>
    <t>5914 del 14/06/2018</t>
  </si>
  <si>
    <t>5283 del 06/06/2018</t>
  </si>
  <si>
    <t>16.1</t>
  </si>
  <si>
    <t>1879745 del 21/05/2018</t>
  </si>
  <si>
    <t>21/05/2018</t>
  </si>
  <si>
    <t>Determina n. 1017 del 02/05/2018</t>
  </si>
  <si>
    <t>Z21228B675</t>
  </si>
  <si>
    <t>04/06/2018                               21/06/2018</t>
  </si>
  <si>
    <t>16.2</t>
  </si>
  <si>
    <t>605 del 15/02/2018</t>
  </si>
  <si>
    <t xml:space="preserve"> Delibera n. 563 del 08/06/2017 (donazione AIL)       </t>
  </si>
  <si>
    <t>Z2423304BA</t>
  </si>
  <si>
    <t>1920724 del 29/05/2018</t>
  </si>
  <si>
    <t>Determina n. 1277 del 28/05/2018</t>
  </si>
  <si>
    <t>1808047 del 26/07/2018</t>
  </si>
  <si>
    <t>26/07/2018</t>
  </si>
  <si>
    <t>Delibera n. 1428 del 11/06/2018</t>
  </si>
  <si>
    <t>Servizi di cura per gli anziani - ADI</t>
  </si>
  <si>
    <t>FONDI</t>
  </si>
  <si>
    <t>Fondi Regionali</t>
  </si>
  <si>
    <t>F.S.C. 2007/2013</t>
  </si>
  <si>
    <t>L. 67/88 (art. 20)</t>
  </si>
  <si>
    <t>25/06/2018                                  29/06/2018</t>
  </si>
  <si>
    <t>Determina n. 755 del 10/04/2018</t>
  </si>
  <si>
    <t>Z2120E25ED</t>
  </si>
  <si>
    <t>1782270 del 24/04/2018</t>
  </si>
  <si>
    <t>Determina n. 2056 del 22-08-2018</t>
  </si>
  <si>
    <t>02/02/2018</t>
  </si>
  <si>
    <t>Delib. 173 del 02/02/2018</t>
  </si>
  <si>
    <t>Importo totale richiesto</t>
  </si>
  <si>
    <t>Importo totale finanziato</t>
  </si>
  <si>
    <t>Gare ASM</t>
  </si>
  <si>
    <t>Gare SUARB</t>
  </si>
  <si>
    <t>Importo aggiudicato</t>
  </si>
  <si>
    <t>Di cui risparmi</t>
  </si>
  <si>
    <t>Importo aggiudicato ASM</t>
  </si>
  <si>
    <t>Importo aggiudicato SUARB</t>
  </si>
  <si>
    <t>% avanzamento gare ASM</t>
  </si>
  <si>
    <t>Adeguamento tecnologico</t>
  </si>
  <si>
    <t>D97H18001820006</t>
  </si>
  <si>
    <t>Servizi di cura per gli anziani - PUA ADI</t>
  </si>
  <si>
    <t xml:space="preserve">D97H18001810006 </t>
  </si>
  <si>
    <t>Centri di raccordo territoriali per la salute - Servizio territoriale</t>
  </si>
  <si>
    <t>F.E.S.R. 2014/2020</t>
  </si>
  <si>
    <t>n.a.</t>
  </si>
  <si>
    <t>Centri di raccordo territoriali per la salute - Forniture</t>
  </si>
  <si>
    <t>Centro diurno per le patologie neurodegenerative - Gestione</t>
  </si>
  <si>
    <t>Importo speso cadauno (i.e.)</t>
  </si>
  <si>
    <t>Struttura carceraria</t>
  </si>
  <si>
    <t>Assistenza Sanitaria</t>
  </si>
  <si>
    <t>Ecografo portatile</t>
  </si>
  <si>
    <t>Strumentazione laboratorio oftalmico</t>
  </si>
  <si>
    <t>ADI</t>
  </si>
  <si>
    <t>Elettrocardiografo portatile</t>
  </si>
  <si>
    <t>Saturimetri</t>
  </si>
  <si>
    <t>Kit esami ematochimici</t>
  </si>
  <si>
    <t>Arredi ambulatori</t>
  </si>
  <si>
    <t>Supporti informatici</t>
  </si>
  <si>
    <t>Corso di formazione</t>
  </si>
  <si>
    <t>Automezzi</t>
  </si>
  <si>
    <t>Matera, Montescaglioso, Pisticci</t>
  </si>
  <si>
    <t xml:space="preserve">PUA ADI </t>
  </si>
  <si>
    <t>Videodermatoscopio</t>
  </si>
  <si>
    <t>Monitoraggio multiparametrico</t>
  </si>
  <si>
    <t>Baropodometro</t>
  </si>
  <si>
    <t>Spirometro</t>
  </si>
  <si>
    <t>Holter pressori</t>
  </si>
  <si>
    <t>Holter dinamici</t>
  </si>
  <si>
    <t>Mezzo radiologico mobile</t>
  </si>
  <si>
    <t>Arredi ambulatori e uffici sociali</t>
  </si>
  <si>
    <t>P.O. Matera e Policoro</t>
  </si>
  <si>
    <t>Determina n. 2719 del 05/11/2018</t>
  </si>
  <si>
    <t>Determina n. 2766 del 13/11/2018</t>
  </si>
  <si>
    <t>Servizi di cura per gli anziani - HOSPICE</t>
  </si>
  <si>
    <t>D57H18002020001</t>
  </si>
  <si>
    <t>HOSPICE</t>
  </si>
  <si>
    <t>STIGLIANO</t>
  </si>
  <si>
    <t>Monitor parametri vitali</t>
  </si>
  <si>
    <t>Materiale campagna pubblicitaria e materiale consumo</t>
  </si>
  <si>
    <t>Supporti informatici (Cartella informatizzata con server, n. 8 tablet, n. 2 computer con stampanti e videoproiettore, videocamera e computer portatile)</t>
  </si>
  <si>
    <t>Diafanoscopi</t>
  </si>
  <si>
    <t>Lampade scialitiche</t>
  </si>
  <si>
    <t>Pompe volumetriche</t>
  </si>
  <si>
    <t>Pompe a siringa</t>
  </si>
  <si>
    <t>Pompa nutrizione enterale</t>
  </si>
  <si>
    <t>Aspiratori portatili</t>
  </si>
  <si>
    <t>Carrello emergenza con defibrillatore</t>
  </si>
  <si>
    <t>Arredo stanze</t>
  </si>
  <si>
    <t>Arredo ambulatori</t>
  </si>
  <si>
    <t>Laboratorio terapia occupazionale</t>
  </si>
  <si>
    <t xml:space="preserve">D.G.R. 402+ D.G.R. 1668/2015 </t>
  </si>
  <si>
    <t>D.G.R. 402+ D.G.R.  1672/2015, D.G.R. 703/2016</t>
  </si>
  <si>
    <t>D.G.R. 1486/2015, D.G.R. 134/2017; D.G.R. 550/2018</t>
  </si>
  <si>
    <t>D.G.R. 1637/2015</t>
  </si>
  <si>
    <t>D.G.R. 1670/2015, D.G.R.  472+ D.G.R. 1179/2017; Determina n. 13AO.2018/D.00161/2018</t>
  </si>
  <si>
    <t>D.G.R. 1670/2015, D.G.R. 472+ D.G.R. 1180/2017; Determina n. 13AO.2018/D.00162/2018</t>
  </si>
  <si>
    <t>D.G.R. 473/2017</t>
  </si>
  <si>
    <t>1709 del 22/01/2019</t>
  </si>
  <si>
    <t>14120 del 15/11/2018</t>
  </si>
  <si>
    <t>11056 del 19/09/2018</t>
  </si>
  <si>
    <t>8/01/2018
10/09/2018
18/01/2019</t>
  </si>
  <si>
    <t>Delibera n. 1152 del 28/12/2018</t>
  </si>
  <si>
    <t>Master: 7163197928
Derivato: 7754221997</t>
  </si>
  <si>
    <t>Master: 7163197928
Derivato: 7754225CE3</t>
  </si>
  <si>
    <t>Consip 4713176 del 31/12/2018</t>
  </si>
  <si>
    <t>Consip 4713018 del 31/12/2018</t>
  </si>
  <si>
    <t>Z6D26663D2</t>
  </si>
  <si>
    <t>RDO 2007346 del 30.10.2018</t>
  </si>
  <si>
    <t>Z6C2445E0C</t>
  </si>
  <si>
    <t>29/11/2018 e 29/01/2019</t>
  </si>
  <si>
    <t>ZA924C08B8</t>
  </si>
  <si>
    <t>Z0D24A2F44</t>
  </si>
  <si>
    <t>Z5924A2F29</t>
  </si>
  <si>
    <t>Z1124A2C6C</t>
  </si>
  <si>
    <t>Z9E24A2C30</t>
  </si>
  <si>
    <t>Z122645064                     Z5526450CD</t>
  </si>
  <si>
    <t>76742607B0</t>
  </si>
  <si>
    <t>ZC4254667A</t>
  </si>
  <si>
    <t xml:space="preserve">RDO 2226289 / </t>
  </si>
  <si>
    <t>Determina 730 22/03/2019</t>
  </si>
  <si>
    <t>Emogasanalizzatori</t>
  </si>
  <si>
    <t>Diafanoscopio</t>
  </si>
  <si>
    <t>Armadio farmaci</t>
  </si>
  <si>
    <t>Carrello terapia</t>
  </si>
  <si>
    <t>Carrello servitore</t>
  </si>
  <si>
    <t>Armadio spogliatoio</t>
  </si>
  <si>
    <t>Doppler</t>
  </si>
  <si>
    <t>Otoscopio</t>
  </si>
  <si>
    <t>Macchina fotografica professionale</t>
  </si>
  <si>
    <t>Attrezzature oculistica</t>
  </si>
  <si>
    <t>Sedie a rotelle</t>
  </si>
  <si>
    <t>RDO 2150121 del 18/03/2019</t>
  </si>
  <si>
    <t>ZB723BE0F4</t>
  </si>
  <si>
    <t>n°774 del 04/09/2018</t>
  </si>
  <si>
    <t>RDO 2005775 del 03/10/2018</t>
  </si>
  <si>
    <t>755930362C</t>
  </si>
  <si>
    <t>RDO 2026338 del 16/01/2019</t>
  </si>
  <si>
    <t>Z52247EACC</t>
  </si>
  <si>
    <t>Del. 1167 del 28/12/2018</t>
  </si>
  <si>
    <t>7867706C5F</t>
  </si>
  <si>
    <t xml:space="preserve"> 19/10/2018</t>
  </si>
  <si>
    <t>75755272A5</t>
  </si>
  <si>
    <t xml:space="preserve"> 11/06/2018</t>
  </si>
  <si>
    <t xml:space="preserve">7466456A66 </t>
  </si>
  <si>
    <t>7466469522
7466480E33</t>
  </si>
  <si>
    <t xml:space="preserve">7670930BAE </t>
  </si>
  <si>
    <t>Delibera ASM n. 379 del 19/04/2019</t>
  </si>
  <si>
    <t>748098936B</t>
  </si>
  <si>
    <t>7481038BD8 (Infruttuosa)</t>
  </si>
  <si>
    <t xml:space="preserve">74810440CF </t>
  </si>
  <si>
    <t>Z7B2423434</t>
  </si>
  <si>
    <t>Rdo n. 1996624 del 23/11/2018</t>
  </si>
  <si>
    <t>Delibera ASM n. 285 del 21/03/2019</t>
  </si>
  <si>
    <t>Z15252E120</t>
  </si>
  <si>
    <t>Determina n. 865 del 2/04/2019</t>
  </si>
  <si>
    <t>6812915350
7380336DEC</t>
  </si>
  <si>
    <t>Determina n. 369 del 15/02/2019</t>
  </si>
  <si>
    <t xml:space="preserve">4192423 e 4192508 del 7/03/2018 </t>
  </si>
  <si>
    <t>2/11/2018
5/11/2018
21/12/2018</t>
  </si>
  <si>
    <t>15/11/2018
01/02/2019</t>
  </si>
  <si>
    <t>30/05/2019
17/10/2019</t>
  </si>
  <si>
    <t>19/06/2019
31/10/2019</t>
  </si>
  <si>
    <t>ZD0255EEF5</t>
  </si>
  <si>
    <t>RDO n. 2092322 del 4/03/2019</t>
  </si>
  <si>
    <t>Determina n. 688 del 15/03/2019</t>
  </si>
  <si>
    <t>Z801FA4F36</t>
  </si>
  <si>
    <t>Rdo n. 1651235 del 21/11/2017</t>
  </si>
  <si>
    <t>Determina n. 1520 del 21/06/2018</t>
  </si>
  <si>
    <t>Determina n. 2413 del 3/10/2018</t>
  </si>
  <si>
    <t xml:space="preserve">RDO 1787061 del </t>
  </si>
  <si>
    <t>ZC220FD887</t>
  </si>
  <si>
    <t>Deliberazione n. 340 del 4/04/2019</t>
  </si>
  <si>
    <t>Determina 1006 del 15/04/2019</t>
  </si>
  <si>
    <t xml:space="preserve"> ZCB23BB843</t>
  </si>
  <si>
    <t>Determina n. 747 del 27/08/2018</t>
  </si>
  <si>
    <t>Determina n. 2877 del 22/11/2018</t>
  </si>
  <si>
    <t>Delibera n. 722 del 10/08/2018</t>
  </si>
  <si>
    <t>7516983A99</t>
  </si>
  <si>
    <t>RDO n. 1975161 dell'11/10/2018</t>
  </si>
  <si>
    <t xml:space="preserve">RdO n. 1964619 del 19/10/2018 </t>
  </si>
  <si>
    <t>ZF423B7AC2</t>
  </si>
  <si>
    <t>ZD423CF470</t>
  </si>
  <si>
    <t>7619373980
781026850B</t>
  </si>
  <si>
    <t>10/09/2018
22/02/2019</t>
  </si>
  <si>
    <t>29/10/2018
11/03/2019</t>
  </si>
  <si>
    <t>Del. n. 840 del 24/09/2018</t>
  </si>
  <si>
    <t>Del. n. 702 del 31/07/2018</t>
  </si>
  <si>
    <t>Determina n. 166 del 24/01/2019</t>
  </si>
  <si>
    <t>RdO n. 1961620 del 17/09/2018</t>
  </si>
  <si>
    <t>29/11/2018
11/01/2019</t>
  </si>
  <si>
    <t>RdO n. 1970180 del 9/10/2018</t>
  </si>
  <si>
    <t>Determina n.873 del  02/04/2019</t>
  </si>
  <si>
    <t>Z8024A3D98</t>
  </si>
  <si>
    <t>RDO 2035307 del 12/04/2019</t>
  </si>
  <si>
    <t>10/01/2019
09/04/2019</t>
  </si>
  <si>
    <t>RDO 2107762 del 08/04/2019</t>
  </si>
  <si>
    <t>Z8525FF342</t>
  </si>
  <si>
    <t>Determina n. 683 del 14/03/2019</t>
  </si>
  <si>
    <t>27/05/2019
28/05/2019</t>
  </si>
  <si>
    <t>Determina n. 1358 del 4/06/2019</t>
  </si>
  <si>
    <t>19012674 del 30/05/2019</t>
  </si>
  <si>
    <t>Determina n. 1004 del 15/04/2019</t>
  </si>
  <si>
    <t>Z602483043</t>
  </si>
  <si>
    <t>RDO 2026113 del 06/05/2019</t>
  </si>
  <si>
    <t>Det. 870 del 02/04/2019</t>
  </si>
  <si>
    <t>Z2926B1241</t>
  </si>
  <si>
    <t>RDO 2044410 09/04/2019</t>
  </si>
  <si>
    <t>Z9524C0936</t>
  </si>
  <si>
    <t>Determina 870 del 02/04/2019</t>
  </si>
  <si>
    <t>Rdo n. 2044410 del 12/04/2019</t>
  </si>
  <si>
    <t>19012675 del 30/05/2019</t>
  </si>
  <si>
    <t>19010630 del 04/04/2019</t>
  </si>
  <si>
    <t>19010632 del 06/05/2019</t>
  </si>
  <si>
    <t>Determina n. 1370 del 05/06/2019</t>
  </si>
  <si>
    <t>Determina n. 1101 del 03/05/2019</t>
  </si>
  <si>
    <t>RDO 2182331 DEL 12/06/2019</t>
  </si>
  <si>
    <t xml:space="preserve">77783934F6 </t>
  </si>
  <si>
    <t>Delibera ASM n. 540 dell'11/06/2019</t>
  </si>
  <si>
    <t>18030517 del 12/12/2018</t>
  </si>
  <si>
    <t>Determina 1306 del 27/05/2019</t>
  </si>
  <si>
    <t>RDO  2232014</t>
  </si>
  <si>
    <t>Determ. N. 774 del 04/09/2018</t>
  </si>
  <si>
    <t>Determ. Liq. n. 1615 del 27/06/2019 - Determ . Rettif. n. 1755 del 10/07/2019</t>
  </si>
  <si>
    <t>19015941 del 05/07/2019</t>
  </si>
  <si>
    <t>Determina n. 823 del 29/03/2019</t>
  </si>
  <si>
    <t>Determina n. 1741 del 10/07/2019</t>
  </si>
  <si>
    <t>76755998AA</t>
  </si>
  <si>
    <t>24/05/2019
21/06/2019</t>
  </si>
  <si>
    <t>18/04/2019
24/05/2019
29/05/2019
30/05/2019</t>
  </si>
  <si>
    <t>Determina n. 1662 del 04/07/2019</t>
  </si>
  <si>
    <t>19016197 del 12/07/2019</t>
  </si>
  <si>
    <t>RDO 2173081 08/07/2019</t>
  </si>
  <si>
    <t>determina n. 1352 del 03/06/2019</t>
  </si>
  <si>
    <t>Lot. 1 - 19016119
Lot. 2 - 19016149 
del 11/07/2019</t>
  </si>
  <si>
    <t>Lot. 1 € 10.000,00
Lot. 2 € 4.000,00</t>
  </si>
  <si>
    <t>Lot. 1 9.851,82
Lot. 2 3776,50</t>
  </si>
  <si>
    <t>7706181DB9</t>
  </si>
  <si>
    <t>RDO 2145551 del 08/04/2019</t>
  </si>
  <si>
    <t>19016068 del 11/06/2019</t>
  </si>
  <si>
    <t>19016203 del 23/05/2019</t>
  </si>
  <si>
    <t>RDO 2048933 del 15/04/2019</t>
  </si>
  <si>
    <t>19016208 del 23/05/2019</t>
  </si>
  <si>
    <t>determina n. 742 del 25/03/2019 
rettifica n. 829 del 29/03/2019</t>
  </si>
  <si>
    <t xml:space="preserve">(7595806168) rettificato :768075792E
</t>
  </si>
  <si>
    <t>RDO 2033297</t>
  </si>
  <si>
    <t>Determina n. 1618 del 01/07/2019</t>
  </si>
  <si>
    <t>Determina n. 1838 del 23/07/2019</t>
  </si>
  <si>
    <t>Progetto wi-fi Azienda Sanitaria Matera – telemedicina ed innovazione tecnologica dei servizi assistenziali e di supporto</t>
  </si>
  <si>
    <t>D.G.R. n. 1357/2018</t>
  </si>
  <si>
    <t>04/06/2018
05/02/2019</t>
  </si>
  <si>
    <t>RDO n. 1866537 04/06/2018</t>
  </si>
  <si>
    <t>ZF822652BF</t>
  </si>
  <si>
    <t>det. N. 1386 del 04/06/2018 e det. N. 247 del 05/02/2019</t>
  </si>
  <si>
    <t>RDO 2034980 del 07/12/2018</t>
  </si>
  <si>
    <t>19020630 del 05/01/2019</t>
  </si>
  <si>
    <t>19020634 del 04/01/2019</t>
  </si>
  <si>
    <t>N.A.</t>
  </si>
  <si>
    <t>22/11/2019 (completamento)</t>
  </si>
  <si>
    <t>19021743 del 12/07/2019</t>
  </si>
  <si>
    <t>RDO 2272865 del 1/10/2019</t>
  </si>
  <si>
    <t>19021082 
del 3/09/2019</t>
  </si>
  <si>
    <t>11/09/2019
16/10/2019</t>
  </si>
  <si>
    <t>30/09/2019
16/10/2019</t>
  </si>
  <si>
    <t>Determina n. 2710 del 28/10/2019</t>
  </si>
  <si>
    <t>19016073 del 11/07/2019</t>
  </si>
  <si>
    <t>Determina n. 2218 del 09/09/2019</t>
  </si>
  <si>
    <t>Determina n. 1532 del 17/06/2019</t>
  </si>
  <si>
    <t>Determina n. 2053 del 20/08/2019</t>
  </si>
  <si>
    <t xml:space="preserve">(7595806168) rettificato: 768075792E
</t>
  </si>
  <si>
    <t>RDO 2033297 03/05/2019</t>
  </si>
  <si>
    <t>19017345 del 19/06/2019</t>
  </si>
  <si>
    <t>Determina n. 2773 del 31/10/2019</t>
  </si>
  <si>
    <t>2165892 del 07/05/2019
2165892 del 07/05/2019
2165892 del 26/03/2019</t>
  </si>
  <si>
    <t>2165892 del 26/03/2019</t>
  </si>
  <si>
    <t>19012664 del 28/05/2019</t>
  </si>
  <si>
    <t>19012943 del 28/05/2019</t>
  </si>
  <si>
    <t>18030481 del 10/12/2018</t>
  </si>
  <si>
    <t>19007476 del 04/01/2019</t>
  </si>
  <si>
    <t>19007425 del 11/03/2019</t>
  </si>
  <si>
    <t>19016199 del 12/07/2019</t>
  </si>
  <si>
    <t>Determina n. 3153 del 18/12/2019</t>
  </si>
  <si>
    <t>RDO 1979780 del 09/10/2018</t>
  </si>
  <si>
    <t>18030483 del 14/11/2018</t>
  </si>
  <si>
    <t>19020565 del 17/07/2019</t>
  </si>
  <si>
    <t>31/07/2019
30/10/2019 (completamento)</t>
  </si>
  <si>
    <t xml:space="preserve"> Determina n. 3202 del 23/12/2019</t>
  </si>
  <si>
    <t>Determina n. 1531 del 17/06/2019</t>
  </si>
  <si>
    <t xml:space="preserve">RDO 2108548 del 04/04/2019 </t>
  </si>
  <si>
    <t>19013117 del 05/05/2019</t>
  </si>
  <si>
    <t>3/12/2019
19/12/2019</t>
  </si>
  <si>
    <t>8a</t>
  </si>
  <si>
    <t>8b</t>
  </si>
  <si>
    <t>Getinge: 35/2019 del 04/07/2019</t>
  </si>
  <si>
    <t>19027267 del 20/10/2019</t>
  </si>
  <si>
    <t>Delibera ASM n. 285 del 21/03/2019 e determina n. 3013 del 02/12/2019</t>
  </si>
  <si>
    <t>03/12/2019
10/01/2020</t>
  </si>
  <si>
    <t xml:space="preserve">811978528E </t>
  </si>
  <si>
    <t>811980530F</t>
  </si>
  <si>
    <t>Space: 34/2019 del 04/07/2019</t>
  </si>
  <si>
    <t>19027251 del 20/10/2019</t>
  </si>
  <si>
    <t>Determina n. 467 del 02/03/2020</t>
  </si>
  <si>
    <t>Contratto rep. n. 37/2019 del 04/07/2019</t>
  </si>
  <si>
    <t>Contratto rep. n. 43/2019 del 18/07/2019</t>
  </si>
  <si>
    <t>19019645 del 06/09/2019</t>
  </si>
  <si>
    <t>19028259 del 02/10/2019</t>
  </si>
  <si>
    <t>19027805 del 02/09/2019</t>
  </si>
  <si>
    <t>CIG:7481007246
CIG DERIVATO:
8156965C73</t>
  </si>
  <si>
    <t>19019620 del 06/09/2019</t>
  </si>
  <si>
    <t>19027764 del 22/09/2019</t>
  </si>
  <si>
    <t>19027838 del 01/10/2019</t>
  </si>
  <si>
    <t>CIG: 7480981CCE
CIG DERIVATO: 8156947D98</t>
  </si>
  <si>
    <t>Determina n. 468 del 02/03/2020</t>
  </si>
  <si>
    <t xml:space="preserve">Determina n. 3103 del 12/12/2019; Determina n. 3231 del 30/12/2019 </t>
  </si>
  <si>
    <t>19016111 del 11/07/2019</t>
  </si>
  <si>
    <t>Determina n. 406 del 24/02/2020</t>
  </si>
  <si>
    <t>Determina n. 193 del 30/01/2020</t>
  </si>
  <si>
    <t>19022628 del 12/09/2019</t>
  </si>
  <si>
    <t xml:space="preserve">CIG: 748098936B
CIG DERIVATO: 81569521BC </t>
  </si>
  <si>
    <t>Contratto rep. n. 33/19 del 21/06/2019</t>
  </si>
  <si>
    <t>CIG: 74810158DE
CIG DERIVATO: 8156970097</t>
  </si>
  <si>
    <t xml:space="preserve">CIG: 7481000C7C 
CIG DERIVATO: 81569575DB  </t>
  </si>
  <si>
    <t>Determina n. 611 del 12/03/2020</t>
  </si>
  <si>
    <t>19026887 del 01/10/2019</t>
  </si>
  <si>
    <t>Determina n. 962 del 21/04/2020</t>
  </si>
  <si>
    <t>19026873 del 01/10/2019</t>
  </si>
  <si>
    <t>19028095 del 02/12/2019</t>
  </si>
  <si>
    <t>19026880 del 01/11/2019</t>
  </si>
  <si>
    <t>19027784 del 02/09/2019</t>
  </si>
  <si>
    <t>CIG: 7481022EA3
 CIG DERIVATO: 81569754B6</t>
  </si>
  <si>
    <t>19026861 del 01/10/2019</t>
  </si>
  <si>
    <t>19028248 del 02/10/2019</t>
  </si>
  <si>
    <t>CIG: 74810272C7
CIG DERIVATO: 81569808D5</t>
  </si>
  <si>
    <t>Determina n. 2509 del 10/10/2019</t>
  </si>
  <si>
    <t>12/06/2019
02/12/2019
19/12/2019</t>
  </si>
  <si>
    <t>Determina n. 715 del 21/03/2019</t>
  </si>
  <si>
    <t>Determina n. 627 del 11/03/2019</t>
  </si>
  <si>
    <t>Determina n. 742 del 25/03/2019 
Rettifica n. 829 del 29/03/2019</t>
  </si>
  <si>
    <t>Determina n.3210 del 24/12/2019</t>
  </si>
  <si>
    <t>RDO n. 2407834 Stipula del 06/02/2020</t>
  </si>
  <si>
    <t>Determina n. 392 del 19/02/2019</t>
  </si>
  <si>
    <t>Determina n. 974 del 21/04/2020</t>
  </si>
  <si>
    <t>RDO 2085042 / Stipula del 13/05/2019</t>
  </si>
  <si>
    <t>20004892 del 12/03/2020</t>
  </si>
  <si>
    <t>Delibera n. 999 del 20/11/2019</t>
  </si>
  <si>
    <t>29/10/2019
11/05/2020</t>
  </si>
  <si>
    <t>RDO 2022848, Stipula del 16/10/2019</t>
  </si>
  <si>
    <t>7580933FCD</t>
  </si>
  <si>
    <t>20008985 del
05/03/2020</t>
  </si>
  <si>
    <t>46a</t>
  </si>
  <si>
    <t>46b</t>
  </si>
  <si>
    <t xml:space="preserve">7575537AE3 </t>
  </si>
  <si>
    <t>75755158BC</t>
  </si>
  <si>
    <t>20005260 del 18/03/2020</t>
  </si>
  <si>
    <t>20006289 del 01/04/2020</t>
  </si>
  <si>
    <t>Determina n. 232 del 4/02/2020</t>
  </si>
  <si>
    <t>1586 del 6/02/2020</t>
  </si>
  <si>
    <t>7724543E86 Lotto 3</t>
  </si>
  <si>
    <t>77245368C1 Lotto 1
7724539B3A Lotto 2
7724545031 Lotto 4</t>
  </si>
  <si>
    <t xml:space="preserve">
Lotto 3 - 31/05/2019, 20/09/2020, 1/10/2020, 14/10/2020</t>
  </si>
  <si>
    <t xml:space="preserve">
Lotto 3 - 31/05/2019, 14/10/2020 </t>
  </si>
  <si>
    <t>Lotto 1, 2 -31/05/2019
Lotto 4 - 12/02/2020
26/03/2020</t>
  </si>
  <si>
    <t xml:space="preserve">Lotto 1, 2 - 31/05/2019
Lotto 4 - 02/02/2020
26/03/2020
</t>
  </si>
  <si>
    <t>Fondi Statali</t>
  </si>
  <si>
    <t>D.G.R. 1144/2018, Determina 13AU.2018/D.00390/2018, Determina 13AU.2018/D.00451/2018</t>
  </si>
  <si>
    <t>D.G.R. 971/2018, Determina 13AU.2018/D.00316/2018, Determina 13AU.2018/D.00392/2018</t>
  </si>
  <si>
    <t>D.G.R. 327/2018, Determina 13AU.2018/D.00107/2018, Determina 3AU.2018/D.00386/2018</t>
  </si>
  <si>
    <t>Accordo di Programma integrativo Sanità - P.O. Policoro e territorio</t>
  </si>
  <si>
    <t>Accordo di Programma integrativo Sanità - P.O. Matera</t>
  </si>
  <si>
    <t>Risparmi SUARB</t>
  </si>
  <si>
    <t>Risparmi ASM</t>
  </si>
  <si>
    <t>04/11/2019
(ultima)</t>
  </si>
  <si>
    <t>19020168 del 02/09/2019</t>
  </si>
  <si>
    <t>Rep. N. 48/2017 del 07/12/2017</t>
  </si>
  <si>
    <t>18030606 del 01/03/2018
18031803 del 10/10/2018</t>
  </si>
  <si>
    <t>Determina n. 476 del 03/03/2020</t>
  </si>
  <si>
    <t>Determina n. 0027 del 13/01/2020</t>
  </si>
  <si>
    <t>Varie UU.OO.</t>
  </si>
  <si>
    <t>Frigoriferi, congelatori, fricongelatori</t>
  </si>
  <si>
    <t>14 02 2019</t>
  </si>
  <si>
    <t>5614639 del 20/07/2020
5624445 del 24/07/2020</t>
  </si>
  <si>
    <t>20015929 del 4/09/2020</t>
  </si>
  <si>
    <t>Master: 77255036C0
Derivato: 8376936246</t>
  </si>
  <si>
    <t>Delibera n. 580 dell'11/06/2020</t>
  </si>
  <si>
    <t>Sonde per ecotomografo (lineare e convex)</t>
  </si>
  <si>
    <t>Sonda per ecografo (convex)</t>
  </si>
  <si>
    <t>Nefrologia e dialisi</t>
  </si>
  <si>
    <t>Sonda per ecografo (lineare)</t>
  </si>
  <si>
    <t>Morcellatore</t>
  </si>
  <si>
    <t>ZBB2B2C4C3</t>
  </si>
  <si>
    <t>20015921 del 4/09/2020</t>
  </si>
  <si>
    <t>2478158 del 5/02/2020</t>
  </si>
  <si>
    <t>Determina n. 256 del 7/02/2020</t>
  </si>
  <si>
    <t>2007283 del 21/04/2020</t>
  </si>
  <si>
    <t>Determina n. 1336 del 03/06/2020</t>
  </si>
  <si>
    <t>Determina n. 3208 del 24/12/2019</t>
  </si>
  <si>
    <t>20009059 del 18/05/2020</t>
  </si>
  <si>
    <t>Repertorio n. 45/2019 del 23/07/2019</t>
  </si>
  <si>
    <t>20015910 del 4/09/2020</t>
  </si>
  <si>
    <t>Determina n. 1974 del 20/08/2020</t>
  </si>
  <si>
    <t>Repertorio n.47725 del 28/07/2020</t>
  </si>
  <si>
    <t>Determina n. 464 del 20/04/2020</t>
  </si>
  <si>
    <t>75600048A7</t>
  </si>
  <si>
    <t>20012582 del01/07/2020</t>
  </si>
  <si>
    <t>4a</t>
  </si>
  <si>
    <t>4b</t>
  </si>
  <si>
    <t>Letti degenza (psichiatrici)</t>
  </si>
  <si>
    <t>Determina n. 1639 del 10/07/2020</t>
  </si>
  <si>
    <t>Determina n. 1414 del 11/06/2020</t>
  </si>
  <si>
    <t>Determina n. 2616 del 16/10/2020</t>
  </si>
  <si>
    <t>Determina n. 2361del 25/09/2020</t>
  </si>
  <si>
    <t>Endoscopia Digestiva / Sala operatoria</t>
  </si>
  <si>
    <t>Sale Operatorie /Endoscopia</t>
  </si>
  <si>
    <t>84695036F9</t>
  </si>
  <si>
    <t>8469474F08</t>
  </si>
  <si>
    <t>Delibera n. 964 del 27/10/2020</t>
  </si>
  <si>
    <t>Rep n. 12.626 del 08/10/2020</t>
  </si>
  <si>
    <t>23/06/2020
10/07/2020
18/09/2020
13/11/2020</t>
  </si>
  <si>
    <t>14/05/2020
23/06/2020
06/11/2020</t>
  </si>
  <si>
    <t>Prot. n. 20170010611 dell'08/02/2017
Prot. n. 20170036783 del 17/05/2017</t>
  </si>
  <si>
    <t>Prot. n. 20170040145 e Prot. n. del 
20170040062 del 31/05/2020</t>
  </si>
  <si>
    <t>Tutti</t>
  </si>
  <si>
    <t xml:space="preserve">Frigorifero biologico </t>
  </si>
  <si>
    <t>Determina n. 3091 del 1/12/2020</t>
  </si>
  <si>
    <t>Determina n. 221 del 31/01/2020
Determina n. 2218 del 11/09/2020</t>
  </si>
  <si>
    <t>22/04/2020 (aggiudicazione SUA RB)</t>
  </si>
  <si>
    <t>30/04/2020 (presa d'atto ASM)</t>
  </si>
  <si>
    <t xml:space="preserve">Determina SUA RB n. 20 AC.2020/D000089 del 22/04/2020
Delib. presa d'atto ASM n. 464 del 30/04/2020 </t>
  </si>
  <si>
    <t>20018500 del 13/10/2020</t>
  </si>
  <si>
    <t>756005960B - Lotto 7
7560066BD0 - Lotto 8
75600785B9 - Lotto 9
7560104B2C - Lotto 10
7560116515 - Lotto 11
7560124BAD - Lotto 12 Deserto
756013331D - Lotto 13</t>
  </si>
  <si>
    <t>ZD72C6589F - Lotto 11</t>
  </si>
  <si>
    <t>2871 del 19/03/2020</t>
  </si>
  <si>
    <t>1588 del 6/02/2020
10122 del 18/09/2020</t>
  </si>
  <si>
    <t>13994 del 1/12/2020</t>
  </si>
  <si>
    <t>RDO n. 2533568 del 12/03/2020</t>
  </si>
  <si>
    <t>Lotto 1 - Z8A2C6577A  
Lotto 2 - Z1A2C657AF  
Lotto 3 - Z012C657CF  
Lotto 4 - ZF52C657E2  
Lotto 5 - Z6B2C657F2 
 Lotto 6 - ZF22C6580E
Lotto 8 - Z9F2C6583C 
 Lotto 10 - ZB62C6588D -</t>
  </si>
  <si>
    <t xml:space="preserve">Lotto 1 - Z8A2C6577A 
Lotto 3 - Z012C657CF  
Lotto 4 - ZF52C657E2  
Lotto 6 - ZF22C6580E 
 Lotto 7 - Z182C65820
Lotto 8 - Z9F2C6583C - </t>
  </si>
  <si>
    <t>Lotto 1 - 20020034 del 03/11/2020
Lotto 3 - 20020023 del 03/11/2020
Lotto 4 -  20020012 del 02/11/2020
Lotto 6 - 20020004 del 02/11/2020 
Lotto 7 - 20020001 del 02/11/2020
Lotto 8 - 20020219 del 05/11/2020</t>
  </si>
  <si>
    <t>Lotto 1 - 20020034 del 03/11/2020
Lotto 2 - 20020027 del 03/11/2020
Lotto 3 - 20020023 del 03/11/2020 
Lotto 4 - 20020012 del 02/11/2020
Lotto 5 - 20020006 del 02/11/2020
Lotto 6 - 20020004 del 02/11/2020 
Lotto 8 - 20020219 del 05/11/2020
Lotto 10 - 20020045 del 03/11/2020</t>
  </si>
  <si>
    <t>20021993 del 25/11/2020</t>
  </si>
  <si>
    <t>anticipazione COVID 31/03/2020
seconda consegna 23/12/2020</t>
  </si>
  <si>
    <t>Determina n. 3187 del 10/12/2020</t>
  </si>
  <si>
    <t>5698384 del 14/09/2020</t>
  </si>
  <si>
    <t>20024385 del 30/12/2020</t>
  </si>
  <si>
    <t>Master: 7725304289
Derivato: 8435161A4C</t>
  </si>
  <si>
    <t>Determina n. 240 del 4/02/2020</t>
  </si>
  <si>
    <t>Contratto Registrato a Milano DP II
il 19/02/2020 n. 14661 Serie 1T</t>
  </si>
  <si>
    <t>20020138 del 04/11/2020</t>
  </si>
  <si>
    <t>14/10/2020
2/11/2020</t>
  </si>
  <si>
    <t>Determina n. 146 del  26/01/2021</t>
  </si>
  <si>
    <t>Determina n. 1306 del 27/05/2019</t>
  </si>
  <si>
    <t xml:space="preserve">Determina n. 1220 del 15/05/2019
Detemina n. 2753 del 29/10/2019
Delibera n. 182 del 27/02/2020 </t>
  </si>
  <si>
    <t>Determina n. 104 del 25/01/2021</t>
  </si>
  <si>
    <t>Determina n. 119 del 25/01/2021</t>
  </si>
  <si>
    <t>Determina n. 3241 del 15/12/2017</t>
  </si>
  <si>
    <t>RDO 2035051 del 7/12/2018</t>
  </si>
  <si>
    <t>Determina n. 2678 del 24/10/2019</t>
  </si>
  <si>
    <t>Determina n. 1397 del 9/06/2020</t>
  </si>
  <si>
    <t>Determina n. 3057 del 9/12/2019</t>
  </si>
  <si>
    <t>RDO n. 2077516 del 15/04/2019</t>
  </si>
  <si>
    <t>19009062 del 16/04/2019</t>
  </si>
  <si>
    <t>Determina n. 2521 del 10/10/2019</t>
  </si>
  <si>
    <t>Rep .n. 33615 del 17/09/2020</t>
  </si>
  <si>
    <t>Rep. n. 20/2019 del 7/05/2019</t>
  </si>
  <si>
    <t>Rep. n. 12445 del 14/07/2020</t>
  </si>
  <si>
    <t>Rep. n. 37/2019 del 04/07/2019</t>
  </si>
  <si>
    <t>Rep. n. 38/2019 del 4/07/2019</t>
  </si>
  <si>
    <t>19019674 del 06/09/2019</t>
  </si>
  <si>
    <t>26/08/2019
9/09/2019</t>
  </si>
  <si>
    <t>10/09/2019
6/12/2019</t>
  </si>
  <si>
    <t>Determina n. 189 del 30/01/2020</t>
  </si>
  <si>
    <t>5a</t>
  </si>
  <si>
    <t xml:space="preserve">Lotto 2: Rep. N 47725 del 28/07/2020
</t>
  </si>
  <si>
    <t xml:space="preserve">Lotto 2 - 20002703 del 24/03/2020, 20012179 del 01/07/2020, 
</t>
  </si>
  <si>
    <t xml:space="preserve">75600048A7 - Lotto 2
</t>
  </si>
  <si>
    <t xml:space="preserve">Lotto 02:  26/03/2020, 16/04/2020, 06/07/2020, 07/07/2020, 13/07/2020,  15/07/2020, 17/07/2020, 31/12/2020 (skin IQ)
</t>
  </si>
  <si>
    <t>Lotto 2: 26/03/2020, 16/04/2020, 06/07/2020, 07/07/2020, 13/07/2020, 15/07/2020, 17/07/2020, 31/12/2020 (skin IQ)</t>
  </si>
  <si>
    <t>5b</t>
  </si>
  <si>
    <t>Letti degenza (pediatrici)</t>
  </si>
  <si>
    <t xml:space="preserve">
Lotto 3: 18/11/2020</t>
  </si>
  <si>
    <t xml:space="preserve">
Lotto 3: 20023330 dell'11/12/2020
</t>
  </si>
  <si>
    <t xml:space="preserve">
7560012F3F - Lotto 3</t>
  </si>
  <si>
    <t>5c</t>
  </si>
  <si>
    <t xml:space="preserve">
Lotto 4: 12/06/2020</t>
  </si>
  <si>
    <t xml:space="preserve">
Lotto 4: 20018500 del 13/10/2020
</t>
  </si>
  <si>
    <t xml:space="preserve">
7560018436 - Lotto 4
</t>
  </si>
  <si>
    <t xml:space="preserve">
Lotto 4: 20/10/2020
</t>
  </si>
  <si>
    <t xml:space="preserve">
Lotto 4: 07/01/2021
</t>
  </si>
  <si>
    <t>5d</t>
  </si>
  <si>
    <t>Letto bariatrico</t>
  </si>
  <si>
    <t xml:space="preserve">
Lotto 5: Rep. N 47725 del 28/07/2020
</t>
  </si>
  <si>
    <t xml:space="preserve">
Lotto 5: 20023331 del 11/12/2020
</t>
  </si>
  <si>
    <t xml:space="preserve">
7560033098 - Lotto 5
</t>
  </si>
  <si>
    <t xml:space="preserve">
Lotto 5: 15/01/2021</t>
  </si>
  <si>
    <t>5e</t>
  </si>
  <si>
    <t>Letti degenza (terapia intensiva respiratoria)</t>
  </si>
  <si>
    <t xml:space="preserve">
Lotto 6: Rep. N 47725 del 28/07/2020</t>
  </si>
  <si>
    <t xml:space="preserve">
Lotto 6: 20005706 del 24/03/2020 e 20015847 del 03/09/2020
</t>
  </si>
  <si>
    <t xml:space="preserve">
 7560047C22 - lotto 6</t>
  </si>
  <si>
    <t>Lotto 06: 04/09 e  05/10/2020</t>
  </si>
  <si>
    <t>Lotto 6: 04/09/2020</t>
  </si>
  <si>
    <t>20005731 del 25/03/2020
20023338 dell'11/12/2020</t>
  </si>
  <si>
    <t>20023340 dell'11/12/2020</t>
  </si>
  <si>
    <t>Determina n. 197 del 01/02/2021</t>
  </si>
  <si>
    <t>Determina n 244 del 05/02/2021</t>
  </si>
  <si>
    <t>Delibera ASM n. 809 del 17/09/2018</t>
  </si>
  <si>
    <t>Delibera ASM n. 412 del 03/05/2019</t>
  </si>
  <si>
    <t>Delibera ASM n. 806 del 17/09/2018</t>
  </si>
  <si>
    <t>Delibera ASM n. 999 del 20/11/2019</t>
  </si>
  <si>
    <t>Delibera ASM n. 879 dell'11/10/2018</t>
  </si>
  <si>
    <t>Delibera ASM n. 901 del 23/10/2018</t>
  </si>
  <si>
    <t>Delibera ASM n. 1054 del 6/12/2018</t>
  </si>
  <si>
    <t>Delibera ASM n. 1055 del 06/12/2018</t>
  </si>
  <si>
    <t>Delibera ASM n. 1087 del 12/12/2018</t>
  </si>
  <si>
    <t>Delibera ASM n. 340 del 4/04/2019</t>
  </si>
  <si>
    <t>Delibera ASM n. 89 31/01/2018</t>
  </si>
  <si>
    <t xml:space="preserve"> Determina n. 873 del  02/04/2019</t>
  </si>
  <si>
    <t>Determina n.765 del 25/03/2019</t>
  </si>
  <si>
    <t>Determina n. 867 del 02/04/2019</t>
  </si>
  <si>
    <t>Determina n. 1823 del 22/07/2019</t>
  </si>
  <si>
    <t>Determina n. 240 del 4/02/2020
Determina n. 327 del 10/02/2021</t>
  </si>
  <si>
    <t>Prot. n. 2020-0069317 del 23/12/2020</t>
  </si>
  <si>
    <t>Prot. n. 2020-0069313 del 23/12/2020</t>
  </si>
  <si>
    <t>Prot. n. 2021-0010408 del 18/02/2021</t>
  </si>
  <si>
    <t>Prot. n. 2020-0069081 del 22/12/2020</t>
  </si>
  <si>
    <t>Prot. n. 20200064656 del 7/12/2020</t>
  </si>
  <si>
    <t>Prot. n. 2020-0069131 del 22/12/2020</t>
  </si>
  <si>
    <t>Prot. n. 2020-0069129 del 22/12/2020</t>
  </si>
  <si>
    <t>24/02/2020, verbalizzato il 
27/04/2020 causa covid</t>
  </si>
  <si>
    <t>Determina n. 1446 del 15/06/2020</t>
  </si>
  <si>
    <t>18030501 del 11/10/2018</t>
  </si>
  <si>
    <t>Repertorio n. 38/2019 del 04/07/2019</t>
  </si>
  <si>
    <t>19016041 del 10/07/2021</t>
  </si>
  <si>
    <t>10/07/2019
09/09/2019</t>
  </si>
  <si>
    <t>Repertorio n. 20/2019 del 07/05/2019</t>
  </si>
  <si>
    <t>1993 dell'11/02/2021</t>
  </si>
  <si>
    <t>1923 del 10/02/2021</t>
  </si>
  <si>
    <t>1968 dell'11/02/2021</t>
  </si>
  <si>
    <t>2600 del 3/03/2020</t>
  </si>
  <si>
    <t>3597 del 4/03/2019</t>
  </si>
  <si>
    <t>1583 del 6/02/2020</t>
  </si>
  <si>
    <t>12785 del 6/11/2020</t>
  </si>
  <si>
    <t>1970 dell'11/02/2021</t>
  </si>
  <si>
    <t>14838 del 17/10/2019</t>
  </si>
  <si>
    <t>5645 dell'11/04/2019</t>
  </si>
  <si>
    <t>11737 del 9/08/2019</t>
  </si>
  <si>
    <t>8170 del 30/07/2020</t>
  </si>
  <si>
    <t>9546 del 26/06/2019</t>
  </si>
  <si>
    <t>Determina n. 979 del 21/04/2020</t>
  </si>
  <si>
    <t>4687 del 27/04/2020</t>
  </si>
  <si>
    <t>5525 del 10/04/2019</t>
  </si>
  <si>
    <t>7072 del 5/07/2018</t>
  </si>
  <si>
    <t>17700 del 19/12/2019</t>
  </si>
  <si>
    <t>13973 del 13/11/2018</t>
  </si>
  <si>
    <t>1874 del 9/02/2021</t>
  </si>
  <si>
    <t>15631 del 30/10/2019</t>
  </si>
  <si>
    <t>6440 del 10/06/2020</t>
  </si>
  <si>
    <t>17213 del 10/12/2019</t>
  </si>
  <si>
    <t>14798 del 16/10/2019</t>
  </si>
  <si>
    <t>8298 del 4/06/2019</t>
  </si>
  <si>
    <t>11248 del 30/07/2019</t>
  </si>
  <si>
    <t>5910 del 17/04/2019</t>
  </si>
  <si>
    <t>10518 del 18/07/2019</t>
  </si>
  <si>
    <t>8744 dell'11/08/2020</t>
  </si>
  <si>
    <t>1832 del 9/02/2021</t>
  </si>
  <si>
    <t>4686 del 27/04/2020</t>
  </si>
  <si>
    <t>4681 del 27/04/2020</t>
  </si>
  <si>
    <t>Determina n. 111 del 25/01/2021</t>
  </si>
  <si>
    <t>1313 del 2701/2021</t>
  </si>
  <si>
    <t>1313 del 27/01/2021</t>
  </si>
  <si>
    <t>61 del 09/01/2020</t>
  </si>
  <si>
    <t>1993 del 11/02/2021</t>
  </si>
  <si>
    <t>1522 del 06/02/2020</t>
  </si>
  <si>
    <t>2916 del 20/02/2019</t>
  </si>
  <si>
    <t>1523 del 06/02/2020</t>
  </si>
  <si>
    <t>12221 del 30/08/2019</t>
  </si>
  <si>
    <t>2467 del 28/02/2020</t>
  </si>
  <si>
    <t>17708 del 19/12/2019</t>
  </si>
  <si>
    <t>15997 del 08/11/2019</t>
  </si>
  <si>
    <t>15156 del 07/12/2018</t>
  </si>
  <si>
    <t>3775 del 01/04/2020</t>
  </si>
  <si>
    <t>2303 del 04/02/2019</t>
  </si>
  <si>
    <t>6584 del 18/06/2020</t>
  </si>
  <si>
    <t>Determina n. 2084 del 24/08/2020</t>
  </si>
  <si>
    <t>10427 del 05/09/2018</t>
  </si>
  <si>
    <t>13103 del 11/09/2019</t>
  </si>
  <si>
    <t>9770 del 01/07/2019</t>
  </si>
  <si>
    <t>2795 del 15/02/2019</t>
  </si>
  <si>
    <t>Lotto 1 - 13/11/2020
Lotto 3 - 03/03/2021
Lotto 4 -  13/11/2020 
Lotto 6 -13/01/2021
Lotto 7 - 20/11/2020
Lotto 8 - 13/01/2021</t>
  </si>
  <si>
    <t>Lotto 1 - 13/11/2020
Lotto 3 - 03/03/2021
Lotto 4 -  13/11/2020 
Lotto 6 -13/01/2021 e 05/02/2021 
Lotto 7 - 15/12/2020
Lotto 8 - 13/01/2021</t>
  </si>
  <si>
    <t>Lotto 1 - 13/11/2020
Lotto 2 - 13/11/2020
Lotto 3 - 03/03/2021
Lotto 4 - 13/11/2020
Lotto 5 - 02/12/2020
Lotto 6 -13/01/2021 
Lotto 8 - 13/01/2021
Lotto 10 - 03/03/2021</t>
  </si>
  <si>
    <t>Lotto 1 - 13/11/2020
Lotto 2 - 13/11/2020
Lotto 3 - 03/03/2021
Lotto 4 - 13/11/2020
Lotto 5 - 02/12/2020
Lotto 6 -13/01/2021 e 05/02/2021
Lotto 8 - 13/01/2021
Lotto 10 -03/03/2021</t>
  </si>
  <si>
    <t>Lotto 3: 05/03/2021</t>
  </si>
  <si>
    <t>Lettino per terapia con ultravioletti</t>
  </si>
  <si>
    <t>Rep. N. 47969 del 13/11/2020
Reg. n. 3223 del 27/11/2020 a MT</t>
  </si>
  <si>
    <t>20021008 del 15/11/2020</t>
  </si>
  <si>
    <t>24-25/11/2020
01/12/2020
28/12/2020</t>
  </si>
  <si>
    <t>21002903 del 20/02/2021</t>
  </si>
  <si>
    <t>7970560A2E</t>
  </si>
  <si>
    <t>Rep. N. 48049 del 10/12/2020
Reg. n. 3364 del 10/12/2020 a MT</t>
  </si>
  <si>
    <t>Rep. N. 47968 del 13/11/2020
Reg. n. 3222 del 27/11/2020 a MT</t>
  </si>
  <si>
    <t>20023743 del 17/12/2020</t>
  </si>
  <si>
    <t>20021007 del 15/11/2020</t>
  </si>
  <si>
    <t>03/12/2020
28/12/2020</t>
  </si>
  <si>
    <t>det. N. 2773 del 31/10/2019</t>
  </si>
  <si>
    <t>1901998 del 25/03/2019</t>
  </si>
  <si>
    <t>Determina n. 3021 del 03/12/2019</t>
  </si>
  <si>
    <t>18030689 dell'11/10/2019</t>
  </si>
  <si>
    <t>Determina n. 2687 del 24/10/2019</t>
  </si>
  <si>
    <t>18024629 del 22/10/2018</t>
  </si>
  <si>
    <t>19013476 del 20/05/2019</t>
  </si>
  <si>
    <t>822563698E</t>
  </si>
  <si>
    <t xml:space="preserve">  Delibera ASM n. 1142 del 24/12/2019</t>
  </si>
  <si>
    <t>Prot. n. 20210016640 del 16/03/2021</t>
  </si>
  <si>
    <t>Prot. n. 20210016363 del 15/03/2021</t>
  </si>
  <si>
    <t>Determina n. 244 del 05/02/2021</t>
  </si>
  <si>
    <t>Determina n. 187 del 05/02/2018</t>
  </si>
  <si>
    <t>Determina n.  131 del 22/01/2019</t>
  </si>
  <si>
    <t>Lotto 11 - voce 3 12/01/2021
Lotto 11 - voce 4: 12/01/2021
Lotto 11- voce 5: 22/03/2021</t>
  </si>
  <si>
    <t xml:space="preserve">Lotto 11 - voce 1 07/01/2021
Lotto 11 - voce 2: 07/01/2021
</t>
  </si>
  <si>
    <t>Lotto 11 - voce 3 12/01/2021
Lotto 11 - voce 4: 12/01/2021
Lotto 11- voce 5: 29/03/2021 e 31/03/2021</t>
  </si>
  <si>
    <t xml:space="preserve">Lotto 11 - voce 1: 06/04/2021
Lotto 11 - voce 2: 07/01/2021
</t>
  </si>
  <si>
    <t xml:space="preserve">
Lotto 5: 15/01/2021 (completato in data 06/04/2021)</t>
  </si>
  <si>
    <t>Determina n. 1047 del 19/04/2021</t>
  </si>
  <si>
    <t>Lotto 1-4 - n. 319 del 10/02/2021
Lotto 6-7-8: n. 409 del 18/02/2021
Lotto 3: n. 1257 del 04/05/2021</t>
  </si>
  <si>
    <t>Lotto 1-2-4 - n. 319 del 10/02/2021
Lotto 5-6-8: n. 409 del 18/02/2021
Lotto 3 e 10: n. 1257 del 04/05/2021</t>
  </si>
  <si>
    <t>Determina n. 734 del 16/03/2021</t>
  </si>
  <si>
    <t>Determina n. 369 del 15/02/2021</t>
  </si>
  <si>
    <t>Determina n. 902 del 6/04/2021</t>
  </si>
  <si>
    <t>4841 del 13/04/2021</t>
  </si>
  <si>
    <t>Determina n. 366 del 15/02/2020</t>
  </si>
  <si>
    <t xml:space="preserve">Delibera presa d'atto n. 946 del 27/10/2020 </t>
  </si>
  <si>
    <t>Determina. n. 1119 del 22/04/2021</t>
  </si>
  <si>
    <t>2019
2020</t>
  </si>
  <si>
    <t>77783934F6 77783999E8 777840922B
ZF62E43BBB</t>
  </si>
  <si>
    <t>19024498 del 1/10/2019
19024489 del 1/10/2019
19024501 del 1/10/2019
19024526 del 1/10/2019
19024535 del 1/10/2019 
20022084 del 25/11/2020</t>
  </si>
  <si>
    <t>Determina n. 240 del 4/02/2020
Determina n. 902 del 6/04/2021</t>
  </si>
  <si>
    <t>1585 del 6/02/2020
4841 del 13/04/2021</t>
  </si>
  <si>
    <t xml:space="preserve">19024496 del 1/10/2019
19024532 del 1/10/2019
19024487 del 1/10/2019
19024536 del 1/10/2019
19024506 del 1/10/2019
20022107 del 26/11/2020
20022108 del 26/11/2020
</t>
  </si>
  <si>
    <t>Determina n. 1358 del 4/06/2019
Determina n. 327 del 10/02/2021
Determina n.  2606 del 15/10/2020
Determina n.  902 del 6/04/2020</t>
  </si>
  <si>
    <t>ZF62E43BBB
77783934F6</t>
  </si>
  <si>
    <t>Determina n. 2606 del 15/10/2020
Determina n.  902 del 6/04/2020
Determina n. 327 del 10/02/2021</t>
  </si>
  <si>
    <t>15/10/2020
04/06/2019</t>
  </si>
  <si>
    <t>15/10/2020
22/05/2019</t>
  </si>
  <si>
    <t>15/09/2020
14/02/2019</t>
  </si>
  <si>
    <t>11/09/2020
28/01/2019</t>
  </si>
  <si>
    <t xml:space="preserve">20022106 del 26/11/2020
20022142 del 26/11/2020
</t>
  </si>
  <si>
    <t>2277 del 19/02/2020</t>
  </si>
  <si>
    <t>4725 del 2/04/2020</t>
  </si>
  <si>
    <t>1585 del 6/02/2020</t>
  </si>
  <si>
    <t>RdO N. 2623611 del 29/03/2021</t>
  </si>
  <si>
    <t>21006493 del 14/04/2021</t>
  </si>
  <si>
    <t>21006489 del 14/04/2021</t>
  </si>
  <si>
    <t>21006479 del 14/04/2021</t>
  </si>
  <si>
    <t xml:space="preserve"> </t>
  </si>
  <si>
    <t>anticipazione COVID 31/03/2020
seconda consegna 08-10-12 gennaio 2021
terza consegna 12-13 aprile 2021
quarta consegna 10-11 maggio 2021</t>
  </si>
  <si>
    <t>Z5F313C7C0</t>
  </si>
  <si>
    <t>RDO 2209231 del 12/06/2019</t>
  </si>
  <si>
    <t>Determina n. 1358 del 4/06/2019
Determina n. 327 del 10/02/2021</t>
  </si>
  <si>
    <t>19024501 del 1/10/2019</t>
  </si>
  <si>
    <t>77783934F6 77783999E8 777840922B
ZF62E43BBB</t>
  </si>
  <si>
    <t>19024486 del 1/10/2019</t>
  </si>
  <si>
    <t>24/12/2020
27/01/2021
05/02/2021</t>
  </si>
  <si>
    <t>20/09/2019
30/09/2019
10/10/2019
16/12/2020
27/01/2021</t>
  </si>
  <si>
    <t>14/11/2019
15/11/2019
19/11/2019
20/11/2019
28/12/2020
18/02/2021
19/02/2021</t>
  </si>
  <si>
    <t>20/09/2019
25/09/2019
30/09/2019
4/10/2019
27/01/2021</t>
  </si>
  <si>
    <t>7/11/2019
8/11/2019
12/11/2019
13/11/2019
18/02/2021</t>
  </si>
  <si>
    <t>2277 del 19/02/2021</t>
  </si>
  <si>
    <t>5593 del 30/04/2021</t>
  </si>
  <si>
    <t>2408 del 27/02/2020</t>
  </si>
  <si>
    <t>2354 del 23/02/2021              2347 del 23/02/2021</t>
  </si>
  <si>
    <t>5211 del 23/04/2021</t>
  </si>
  <si>
    <t>2622 del 02/03/2021</t>
  </si>
  <si>
    <t>2619 del 02/03/2021</t>
  </si>
  <si>
    <t xml:space="preserve">Determina n. 3103 del 12/12/2019; Determina n. 3232 del 30/12/2019 </t>
  </si>
  <si>
    <t>61 del 9/01/2020                   3770 del 1/04/2020</t>
  </si>
  <si>
    <t>2623 del 02/03/2021</t>
  </si>
  <si>
    <t>16086 del 11/11/2019</t>
  </si>
  <si>
    <t>10197 del 10/07/2019</t>
  </si>
  <si>
    <t>24/12/2020
18/02/2021</t>
  </si>
  <si>
    <t>1406212 del 04/11/2020
2209231del 12/06/2019</t>
  </si>
  <si>
    <t>15081 del 16/12/2020</t>
  </si>
  <si>
    <t>2209231 del 12/06/2019
1406212 del 04/11/2020</t>
  </si>
  <si>
    <t>Contratto rep.- 47929 del 30/10/2020</t>
  </si>
  <si>
    <t>Determina SUA RB n. 20 AC.2020/D000089 del 22/04/2020
Delib. presa d'atto ASM n. 464 del 30/04/2020 
Determina SUA RB n. 20 AC.2021/D000064 del 12/03/2021 (revoca aggiudicazione lotto 9 e scorrimento graduatoria)
Delib. presa d'atto ASM n. 288 del 15/04/2021</t>
  </si>
  <si>
    <t>Competenza  gara</t>
  </si>
  <si>
    <t>Stato</t>
  </si>
  <si>
    <t>Concluso</t>
  </si>
  <si>
    <t>Rimodulazione, in corso di svolgimento</t>
  </si>
  <si>
    <t>Rimodulazione, concluso</t>
  </si>
  <si>
    <t>Competenza gara</t>
  </si>
  <si>
    <t>Rimodulazione, in fase di studio</t>
  </si>
  <si>
    <t>SUARB</t>
  </si>
  <si>
    <t>In fase di studio</t>
  </si>
  <si>
    <t>Da eliminare; riutilizzate quelle di Policoro</t>
  </si>
  <si>
    <t>Collaudo in corso di svolgimento</t>
  </si>
  <si>
    <t>Da rimodulare; acquisito in service</t>
  </si>
  <si>
    <t>Concluso (sconto merce con sw riduzione dose tac)</t>
  </si>
  <si>
    <t>Da rimodulare</t>
  </si>
  <si>
    <t>Prot. n. 201800067834 del 14/11/2018</t>
  </si>
  <si>
    <t>Determina n. 1553 del 26/05/2021</t>
  </si>
  <si>
    <t>Consegna / Collaudi</t>
  </si>
  <si>
    <t>In attesa di apertura vetrina Consip</t>
  </si>
  <si>
    <t>Infruttuoso / Da ripubblicare</t>
  </si>
  <si>
    <t>Determina n. 1301 del 06/05/2021</t>
  </si>
  <si>
    <t>da rimodulare</t>
  </si>
  <si>
    <t>SUA RB</t>
  </si>
  <si>
    <t>Ricevuto in donazione</t>
  </si>
  <si>
    <t>Aggiudicata</t>
  </si>
  <si>
    <t>Consegna /Collaudo</t>
  </si>
  <si>
    <t>In fase di  studio</t>
  </si>
  <si>
    <t>Conlcuso</t>
  </si>
  <si>
    <t>D17B15000310006</t>
  </si>
  <si>
    <t>D.G.R. n. 237/2020
DM Min Sal 2021</t>
  </si>
  <si>
    <t>Fondi integrativi radioterapia (Delibera CIPE n. 32  del 21/03/2018, art. 50, c. 1, lettera c) L. n. 23 dicembre 1998, n. 448, integrato art. 4 bis D.L. del 28 dicembre 1998, n. 450, convertito con modificazioni dalla L. 26 febbraio 1999, n. 39, nonché dalle leggi finanziarie 23 dicembre 1999 n. 488, 23 dicembre 2000 n. 388, 28 dicembre 2001, n. 448 e 27 dicembre 2002 n. 289, 24 dicembre 2003 n. 350, 30 dicembre 2004 n. 311, 23 dicembre 2005 n. 266, 27 dicembre 2006 n. 296, 24 dicembre 2007 n. 244, 22 dicembre 2008 n. 203, 23 dicembre 2009 n. 191, 13 dicembre 2010 n. 220 e 12 novembre 2011 n. 183, 24 dicembre 2012 n. 228, 27 dicembre 2013 n. 147, 23 dicembre 2014 n. 190, 28 dicembre 2015 n. 208, 11 dicembre 2016 n. 232, 27 dicembre 2017 n. 205, 30 dicembre 2018 n.145, 27 dicembre 2019 n. 160 e 30 dicembre 2020 n. 178)</t>
  </si>
  <si>
    <t>Potenziamento rete ospedaliera ex art. 2 D.L. 34/2020 - Terapia Intensiva</t>
  </si>
  <si>
    <t>D11B20000670001</t>
  </si>
  <si>
    <t>Fondi statali</t>
  </si>
  <si>
    <t>Potenziamento rete ospedaliera ex art. 2 D.L. 34/2020 - Terapia Semintensiva</t>
  </si>
  <si>
    <t>Potenziamento rete ospedaliera ex art. 2 D.L. 34/2020 - Pronto Soccorso</t>
  </si>
  <si>
    <t>Potenziamento rete ospedaliera ex art. 2 D.L. 34/2020 - Ambulanze</t>
  </si>
  <si>
    <t>26/07/2018
13/09/2018
19/09/2018</t>
  </si>
  <si>
    <t>12/09/2018
20/09/2018</t>
  </si>
  <si>
    <t>Determina n. 676 del 14/03/2019</t>
  </si>
  <si>
    <t>Determina n. 1585 del 28/05/2021</t>
  </si>
  <si>
    <t>1553593 del 9/06/2017</t>
  </si>
  <si>
    <t>ZD31E2FDF0</t>
  </si>
  <si>
    <t>Delibera n. 567 del'8/06/2017</t>
  </si>
  <si>
    <t>25/10/2017
01/02/2018</t>
  </si>
  <si>
    <t>determina n. 1603 del 31/05/2021</t>
  </si>
  <si>
    <t>Determina n. 1604 del 31/05/2021</t>
  </si>
  <si>
    <t>Concluso (ricevere mandato di pagamento)</t>
  </si>
  <si>
    <t>DD SUA n. 65 del 09/04/2019</t>
  </si>
  <si>
    <t>19022617 del 12/09/2019</t>
  </si>
  <si>
    <t>det. n. 193 del  30/01/2020</t>
  </si>
  <si>
    <t>Prot. n. 000034951 del 15/06/2021</t>
  </si>
  <si>
    <t>Prot. n. 000034954 del 15/06/2021</t>
  </si>
  <si>
    <t>Prot. n. 2021-0010408 del 18/02/2021                                             Prot. n. 000034954 del 15/06/2021</t>
  </si>
  <si>
    <t>Prot. n. 000034958 del 15/06/2021</t>
  </si>
  <si>
    <t>Prot. n. 000034961 del 15/06/2021</t>
  </si>
  <si>
    <t>Prot. n. 000034968 del 15/06/2021</t>
  </si>
  <si>
    <t>4482 del 27/03/2019</t>
  </si>
  <si>
    <t>7561 del 16/06/2021</t>
  </si>
  <si>
    <t>7352 del 10/06/2021</t>
  </si>
  <si>
    <t>303 del 16/01/2020</t>
  </si>
  <si>
    <t>6143 del 18/05/2021</t>
  </si>
  <si>
    <t>17286 DEL 11/12/2019</t>
  </si>
  <si>
    <t>Frigoemoteca</t>
  </si>
  <si>
    <t>Frigorifero domestico</t>
  </si>
  <si>
    <t>Lavatrice</t>
  </si>
  <si>
    <t>Determina n. 1133 del 11/05/2018</t>
  </si>
  <si>
    <t>8259 del 24/06/2021</t>
  </si>
  <si>
    <t>Ptot n. 20210030188 del 18/05/2021</t>
  </si>
  <si>
    <t>8260 del 24/06/2021</t>
  </si>
  <si>
    <t>5932 del 15/06/2018</t>
  </si>
  <si>
    <t>Prot. n. 201800067833 del 14/11/2018</t>
  </si>
  <si>
    <t>87807529C5</t>
  </si>
  <si>
    <t>21008710 del 14/05/2021</t>
  </si>
  <si>
    <t>TD-1658503 del 25/06/2021</t>
  </si>
  <si>
    <t>21011843 del 29/06/2021</t>
  </si>
  <si>
    <t>Risorse SNAI - Legge di stabilità</t>
  </si>
  <si>
    <t>7560066BD0 - Lotto 8
75600785B9 - Lotto 9
7560104B2C - Lotto 10
7560116515 - Lotto 11
756013331D - Lotto 13</t>
  </si>
  <si>
    <t>20017230 e 20017234 del 4/09/2020</t>
  </si>
  <si>
    <t>20017216 e 20017218 del 4/09/2020</t>
  </si>
  <si>
    <t>D59J21011090001</t>
  </si>
  <si>
    <t>D.G.R. n. 431/2019</t>
  </si>
  <si>
    <t>D59J21011110001</t>
  </si>
  <si>
    <t>D54E21000920006</t>
  </si>
  <si>
    <t xml:space="preserve">Centro diurno per le patologie neurodegenerative - Lavori </t>
  </si>
  <si>
    <t>D59J21011100001</t>
  </si>
  <si>
    <t>Fibrosi cistica</t>
  </si>
  <si>
    <t>D19J14003660002</t>
  </si>
  <si>
    <t>DGR 956/2014; Determina 13AE.2015/D.00214 13/5/2015</t>
  </si>
  <si>
    <t>Genetica Medica</t>
  </si>
  <si>
    <t xml:space="preserve">P.O. Matera </t>
  </si>
  <si>
    <t>Chirurgia Generale</t>
  </si>
  <si>
    <t>Contratto del 21/07/2021
Repertorio n.47708
Raccolta n.22842
Reg. n. 1929 del 21/07/2020 MT</t>
  </si>
  <si>
    <t>N. 2 cong. Agg</t>
  </si>
  <si>
    <t>Acc. Pneum.</t>
  </si>
  <si>
    <t>Compr. Tec 1</t>
  </si>
  <si>
    <t>- Lotto 7 poltrone prelievi: contratto rep. 48048 del 10/12/2020
 - Lotto 8 sedie a rotelle: 27/05/2021
- Lotto 9 carrelli terapia:   rep. n. 34309 del 30/09/2021
- Lotto 10 carrelli emergenza: 18/11/2020
- Lotto 11 carrelli portacartelle: 07/08/2020
- Lotto 13 armadi portafarmaci: contratto rep. 47860 del 05/10/2020</t>
  </si>
  <si>
    <t xml:space="preserve"> - Lotto 8 sedie a rotelle: 27/05/2021
- Lotto 9 carrelli terapia:   rep. n. 34309 del 30/09/2021
- Lotto 10 carrelli emergenza: 18/11/2020
- Lotto 11 carrelli portacartelle: 07/08/2020
- Lotto 13 armadi portafarmaci: contratto rep. 47860 del 05/10/2020</t>
  </si>
  <si>
    <t>Master: 7693357708 
Derivato: 853117437F</t>
  </si>
  <si>
    <t xml:space="preserve">- Lotto 7 poltrone prelievi: n. 20024208 del 24/12/2020 
 - Lotto 8 sedie a rotelle: n 20005759 del 24/03/2020 (anticipazione) e n. 21012845 del 12/07/2021
- Lotto 9 carrelli terapia n. 21019888 del 25/10/2021
- Lotto 10 carrelli emergenza: n. 20005713 del 24/03/2020 (anticipazione) e n. 20023330 dell'11/12/2020 
- Lotto 11 carrelli portacartelle: n. 20005719 del 24/03/2020 (anticipazione) e n. 20023329 dell'11/12/2020 
- Lotto 12 Deserto carrelli trasporto
- Lotto 13 armadi portafarmaci: n. 2005727 del 24/03/2020 (anticipaazione) e n. 20024212 del 24/12/2020 </t>
  </si>
  <si>
    <t xml:space="preserve"> - Lotto 8 sedie a rotelle: 
n. 21009727 del 28/05/2021
- Lotto 9 carrelli terapia n. 21019889 del 25/10/2021
- Lotto 10 carrelli emergenza: n. 20005713 del 24/03/2020 (anticipazione) e n. 20023330 dell'11/12/2020 
- Lotto 11 carrelli portacartelle: n. 20005719 del 24/03/2020 (anticipazione) e n. 20023329 dell'11/12/2020 
- Lotto 13 armadi portafarmaci: n. 2005727 del 24/03/2020 (anticipaazione) e n. 20024212 del 24/12/2020 </t>
  </si>
  <si>
    <t>det. N. 2704 del 21/09/2021</t>
  </si>
  <si>
    <t>n. 2815835 del 11/11/2021</t>
  </si>
  <si>
    <t>in corso</t>
  </si>
  <si>
    <t>Centro di raccordo territoriale</t>
  </si>
  <si>
    <t>Notebook convertibile</t>
  </si>
  <si>
    <t>Software, kit di analisi e di consumo per le apparecchiature</t>
  </si>
  <si>
    <t>Bilancia peso corporeo</t>
  </si>
  <si>
    <t>Sfigmomanometro</t>
  </si>
  <si>
    <t>Pulsossimetro</t>
  </si>
  <si>
    <t>Glucosimetro</t>
  </si>
  <si>
    <t>Valigia alluminio</t>
  </si>
  <si>
    <t>Webcam PTZ</t>
  </si>
  <si>
    <t>Bilancia pesa persone</t>
  </si>
  <si>
    <t>Elettrocardiografo 12 derivazioni</t>
  </si>
  <si>
    <t>PT/INR</t>
  </si>
  <si>
    <t>Spirometro</t>
  </si>
  <si>
    <t>Determina n. 3630 del 20/12/2021</t>
  </si>
  <si>
    <t>Lotto 7: 12-14-18-21-24-25/05/2021 (in completamento)
Lotto 8: 10/04/2021 (anticipazione), 14/09/2021 (sedie fisse), 04/10/2021 (sedie richiudibili)
Lotto 9: 29/12/2021
Lotto 10 carrelli di emergenza: 06/05/2020 e 22/02/2021
Lotto 11: carrelli portacartelle 02/04/2020 e 30/03/2021
Lotto 13: 06/04/2020 (anticipazione) e 20/04/2021</t>
  </si>
  <si>
    <t>Lotto 7: 12-14-18-21-24-25/-27/05/2021, 11/06/2021
Lotto 8: 10/04/2021 (anticipazione), 14/09/2021 (sedie fisse) 04/10/2021 (sedie richiudibili)
Lotto 9: 29/12/2021
Lotto 10 carrelli di emergenza: 06/05/2020 e 22/02/2021
Lotto 11 carrelli portacartelle: 02/04/2020 e 30/03/2021
Lotto 13 armadi porta farmaci: 06/04/2020 (anticipazione) e 20/04/2021</t>
  </si>
  <si>
    <r>
      <t xml:space="preserve">Lotto 8: 22/06/2021 </t>
    </r>
    <r>
      <rPr>
        <sz val="9"/>
        <color rgb="FFFF0000"/>
        <rFont val="Garamond"/>
        <family val="1"/>
      </rPr>
      <t xml:space="preserve">  
</t>
    </r>
    <r>
      <rPr>
        <sz val="9"/>
        <rFont val="Garamond"/>
        <family val="1"/>
      </rPr>
      <t>Lotto 9: 29/12/2021</t>
    </r>
    <r>
      <rPr>
        <sz val="9"/>
        <color rgb="FFFF0000"/>
        <rFont val="Garamond"/>
        <family val="1"/>
      </rPr>
      <t xml:space="preserve">   </t>
    </r>
    <r>
      <rPr>
        <sz val="9"/>
        <rFont val="Garamond"/>
        <family val="1"/>
      </rPr>
      <t xml:space="preserve">     
Lotto 10 carrelli di emergenza: 22/02/2021
Lotto 11: carrelli portacartelle 30/03/2021
Lotto 13: 20/04/2021</t>
    </r>
  </si>
  <si>
    <t xml:space="preserve">
Lotto 8: 22/06/2021
Lotto 9: 29/12/2021      Lotto 10 carrelli di emergenza: 22/02/2021
Lotto 11: carrelli portacartelle 30/03/2021
Lotto 13: 21/04/2021</t>
  </si>
  <si>
    <t>16213 del 22/12/2021</t>
  </si>
  <si>
    <t>24/05/2021 e 17/12/2021</t>
  </si>
  <si>
    <t>Z9B34CCC79</t>
  </si>
  <si>
    <t xml:space="preserve">
Lotto 8: det. n. 3231 del 11/11/2021
Lotto 9: det. N. 993 del 22/04/2021
Lotto 10 carrelli di emergenza:    det. N. 929 del 07/04/2021;                
Lotto 11: det. N. 1300 del 06/05/2021
Lotto 13 armadi porta farmaci: det. N. 1414 del 17/05/2021</t>
  </si>
  <si>
    <t>Terapia Intensiva</t>
  </si>
  <si>
    <t>Centrale monitoraggio - GE</t>
  </si>
  <si>
    <t>Defibrillatore manuale</t>
  </si>
  <si>
    <t>Emogasanalizzatore</t>
  </si>
  <si>
    <t>Monitor multiparametrico (dotati di carrello/staffa/braccio) - GE</t>
  </si>
  <si>
    <t>Monitor multiparametrico (dotati di carrello/staffa/braccio) - Mindray</t>
  </si>
  <si>
    <t>Pompa siringa farmaci</t>
  </si>
  <si>
    <t>Pompa volumetrica farmaci</t>
  </si>
  <si>
    <t>Terapia intensiva</t>
  </si>
  <si>
    <t xml:space="preserve">Ambulanza </t>
  </si>
  <si>
    <t>18 mayo</t>
  </si>
  <si>
    <t>4 doppio ripiano</t>
  </si>
  <si>
    <t>Z632F3630B</t>
  </si>
  <si>
    <t>ZAA2F40E27</t>
  </si>
  <si>
    <t>ZF22F40DF3</t>
  </si>
  <si>
    <t>ZEC2F40E4B</t>
  </si>
  <si>
    <t>n. 3097 del 01/12/2020</t>
  </si>
  <si>
    <t>n. 3162 del 07/12/2020</t>
  </si>
  <si>
    <t>n. 20023154 del 10/12/2020</t>
  </si>
  <si>
    <t>n. 20023217 del 10/12/2020</t>
  </si>
  <si>
    <t>n. 20023205 del 10/12/2020</t>
  </si>
  <si>
    <t>n. 20023248 del 11/12/2020</t>
  </si>
  <si>
    <t>N. 510 del 25/02/2021</t>
  </si>
  <si>
    <t>N. 511 del 25/02/2021</t>
  </si>
  <si>
    <t xml:space="preserve">n. 1252 del 04/05/2021 (parziale)
n. 2459 del 31/08/2021 </t>
  </si>
  <si>
    <t>n. 1249 del 04/05/2021</t>
  </si>
  <si>
    <t>3214 del 11/03/2021</t>
  </si>
  <si>
    <t>4699 del 02/04/2021</t>
  </si>
  <si>
    <t xml:space="preserve"> - 7355 del 10/06/2021 
- 11095 del 03/09/2021</t>
  </si>
  <si>
    <t>7285 del 10/06/2021</t>
  </si>
  <si>
    <t>prot. 49136 del 30/09/2021</t>
  </si>
  <si>
    <t>in attesa ultima liquidazione</t>
  </si>
  <si>
    <t>Z3B2F3630C</t>
  </si>
  <si>
    <t>Ventilatore polmonare da terapia intensiva</t>
  </si>
  <si>
    <t>pec prot. 2020-0059528</t>
  </si>
  <si>
    <t>n. 20023037 del 09/12/2020</t>
  </si>
  <si>
    <t>21/12/2020 e 31/12/2020</t>
  </si>
  <si>
    <t>n. 572 del 02/03/2021</t>
  </si>
  <si>
    <t>2928 del 04/03/2021</t>
  </si>
  <si>
    <t>Z132F3630D</t>
  </si>
  <si>
    <t>pec prot. 2020-0058698</t>
  </si>
  <si>
    <t>n. 20023002 del 09/12/2020</t>
  </si>
  <si>
    <t>N. 509 del 25/02/2021</t>
  </si>
  <si>
    <t>2849 del 04/03/2021 (imponibile), 21041208445225369 del 16/04/2021 (IVA)</t>
  </si>
  <si>
    <t xml:space="preserve">D.G.R. N. 637/2021
Determina Dirigenziale n. 15BI.202/D.001711 del 1.12.2021 </t>
  </si>
  <si>
    <t>PNRR - attrezzature</t>
  </si>
  <si>
    <t>PNRR - ICT</t>
  </si>
  <si>
    <t>Proposta PNRR - Attrezzature</t>
  </si>
  <si>
    <t>Tomografi Computerizzati (CT Scans) - 128 strati</t>
  </si>
  <si>
    <t>Tomografi a Risonanza Magnetica (MRI) - 1,5 Tesla</t>
  </si>
  <si>
    <t>Ecotomografi multidisciplinari/internistici</t>
  </si>
  <si>
    <t>Ecotomografi cardiologici</t>
  </si>
  <si>
    <t>Cardiologia - UTIC</t>
  </si>
  <si>
    <t>Osttericia e ginecologia</t>
  </si>
  <si>
    <t>Ecotomografi ginecologici 3D</t>
  </si>
  <si>
    <t>Telecomandati digitali per esami di pronto soccorso</t>
  </si>
  <si>
    <t>Radiologia/P.S.</t>
  </si>
  <si>
    <t>Sistemi polifunzionali per radiologia digitale diretta (DR)</t>
  </si>
  <si>
    <t>Sistemi polifunzionali per radiologia digitale diretta (DR) per esami di pronto soccorso</t>
  </si>
  <si>
    <t>Mammografo con tomosintesi</t>
  </si>
  <si>
    <t>Upgrade sistemi di storage HW/SW e sistemi di disaster recovery</t>
  </si>
  <si>
    <t>Rifacimento rete lan attiva e sistemi di monitoraggio e logging</t>
  </si>
  <si>
    <t>dematerializzazione documenti clinico medico</t>
  </si>
  <si>
    <t>Rifacimento lan Passiva</t>
  </si>
  <si>
    <t>Cloud esterno per portale istituzione, servizi on-line e posta elettronica</t>
  </si>
  <si>
    <t>Postazioni desk top</t>
  </si>
  <si>
    <t>Postazioni Laptop</t>
  </si>
  <si>
    <t>adeguamento alle norme di sicurezza AGID del data center, monitoraggio, e sistemi sicurezza on-premise</t>
  </si>
  <si>
    <t>Proposta PNRR - ICT</t>
  </si>
  <si>
    <t>Europei</t>
  </si>
  <si>
    <t>Lotto 7: det. n. 2003 del 09/07/2021
Lotto 8: det. n. 1415 del 18/05/2021 (anitcipazione) e  n. 3231 del 11/11/2021
Lotto 9: det. N. 993 del 22/04/2021
Lotto 10 carrelli di emergenza: det. N. 929 del 07/04/2021 (completamento fornitura) e det. 1055 del 19/04/2021 (anticipo fornitura)
Lotto 11 carrelli porta cartelle: det. N. 1300 del 06/05/2021 (completamento fornitura) e det. N. 1403 del 17/05/2021 (anticipo fornitura)                                    
Lotto 13 armadi porta farmaci: det. N. 1414 del 17/05/2021</t>
  </si>
  <si>
    <t>Barella</t>
  </si>
  <si>
    <t>Letto degenza (completi di accessori)</t>
  </si>
  <si>
    <t>prima parte: 28/12/2021
seconda parte: 04/05/2022</t>
  </si>
  <si>
    <t>rep. 39865 del 20/07/2021</t>
  </si>
  <si>
    <t>n. 21013713 del 22/07/2021</t>
  </si>
  <si>
    <t>8538997B3B</t>
  </si>
  <si>
    <t>31/08/2021 e 09/09/2021</t>
  </si>
  <si>
    <t>N. 3007 del 19/10/2021</t>
  </si>
  <si>
    <t>n. 13545 del 26/10/2021</t>
  </si>
  <si>
    <t>n. 875 del 30/03/2021</t>
  </si>
  <si>
    <t>Struttura Commissariale</t>
  </si>
  <si>
    <t>8515405E7E</t>
  </si>
  <si>
    <t>20023114 del 10/12/2020</t>
  </si>
  <si>
    <t>n. 1576 del 28/05/2021</t>
  </si>
  <si>
    <t xml:space="preserve">7705 DEL 22/06/2021 </t>
  </si>
  <si>
    <t>ZBE2F3630F</t>
  </si>
  <si>
    <t>n. 20023130 del 10/12/2020</t>
  </si>
  <si>
    <t>N. 935 del 07/04/2021</t>
  </si>
  <si>
    <t>5594 del 30/04/2021</t>
  </si>
  <si>
    <t>Z1E2F36313</t>
  </si>
  <si>
    <t>pec prot. 2020-0059989</t>
  </si>
  <si>
    <t>n. 20022984 del 09/12/2020</t>
  </si>
  <si>
    <t>n. 851 del 29/03/2021</t>
  </si>
  <si>
    <t>4063 del 01/04/2021</t>
  </si>
  <si>
    <t>N. 352 dell'11/02/2021</t>
  </si>
  <si>
    <t>n. 2540 del 08/09/2021</t>
  </si>
  <si>
    <t>n. 11631 del 16/09/2021</t>
  </si>
  <si>
    <t>8535482691]</t>
  </si>
  <si>
    <t>ZF12F36314</t>
  </si>
  <si>
    <t>N. 353 dell'11/02/2021</t>
  </si>
  <si>
    <t>n. 21002481 del 15/02/2021</t>
  </si>
  <si>
    <t>09/04/2021 (completato 04/05/2021)</t>
  </si>
  <si>
    <t>n. 1605 del 31/05/2021</t>
  </si>
  <si>
    <t>n. 21005046 del 22/03/2021</t>
  </si>
  <si>
    <t>8258 DEL 24/06/2021</t>
  </si>
  <si>
    <t>Z462F36312</t>
  </si>
  <si>
    <t>N. 20023326 DEL 11/12/2020</t>
  </si>
  <si>
    <t>det. N. 2759 del 27/09/2021</t>
  </si>
  <si>
    <t>n. 12220 del 04/10/2021</t>
  </si>
  <si>
    <t>Colonna anestesia terapia intensiva</t>
  </si>
  <si>
    <t>Aspiratore chirurgico</t>
  </si>
  <si>
    <t>Attrezzature informatiche (pc, stampante, etichettatrice, tablet, sistemi videoconferenza…)</t>
  </si>
  <si>
    <t xml:space="preserve">
Lotto 7:  9431 del 19/07/2021
Lotto 8: 14544 del 17/11/2021
Lotto 9:5636 del 02/05/2022
Lotto 10 carrelli di emergenza: 4811 del 09/04/2021  
Lotto 11 carrelli porta cartelle:  8929 del 07/07/2021                                    
Lotto 13 armadi porta farmaci:7669 del 22/06/2021
</t>
  </si>
  <si>
    <t xml:space="preserve">
Lotto 7:  9431 del 19/07/2021
Lotto 8: 7704 del 22/06/2021 e 14544 del 17/11/2021
Lotto 9: Lotto 9:5636 del 02/05/2022
Lotto 10 carrelli di emergenza: 4811 del 09/04/2021 e                         5869 del 11/05/2021 
Lotto 11 carrelli porta cartelle: 6140 del 18/05/2021 e 8929 del 07/07/2021                                    
Lotto 13 armadi porta farmaci:7669 del 22/06/2021
</t>
  </si>
  <si>
    <t>Barella di biocontenimento</t>
  </si>
  <si>
    <t>Monitor multiparametrico (dotati di carrello/staffa/braccio)</t>
  </si>
  <si>
    <t>Arredi sanitari (Carrelli medicazione/terapia, carrelli portacartelle, carrelli emergenza, armadi portafarmaci, sedie a rotelle, armadi spogliatoio, carrelli servitori, armadi deposito, frigoriferi biologici., lettini visita, armadi portadocumenti, scrivanie, sedie, tende batteriche, armadi/comodino, portarifiuti,...)</t>
  </si>
  <si>
    <t>Trave testa letto</t>
  </si>
  <si>
    <t>Ordini CONSIP: 5366404, 5401985
Ordine ASM: 22008795 del 15/01/2022</t>
  </si>
  <si>
    <t>9329940E0A</t>
  </si>
  <si>
    <t>4c</t>
  </si>
  <si>
    <t>93349070F4</t>
  </si>
  <si>
    <t xml:space="preserve">Ecotomografi cardiologici 3D </t>
  </si>
  <si>
    <t>Radiologia Matera</t>
  </si>
  <si>
    <t>Piattaforma ecografica PO Matera e PO Policoro</t>
  </si>
  <si>
    <t>933487026B</t>
  </si>
  <si>
    <t>Endocrinologia - Diabetologia P.O. Matera e O.D. Tinchi</t>
  </si>
  <si>
    <t>1</t>
  </si>
  <si>
    <t>2</t>
  </si>
  <si>
    <t>3</t>
  </si>
  <si>
    <t>Apparecchio per ossigenoterapia ad alti fllussi  (Masimo - TNI Softflow 50)</t>
  </si>
  <si>
    <t>Apparecchio per ossigenoterapia ad alti fllussi  (Burke - Hifent)</t>
  </si>
  <si>
    <t>3.2</t>
  </si>
  <si>
    <t>Apparecchio per ossigenoterapia ad alti fllussi (Space - HFT500)</t>
  </si>
  <si>
    <t>Apparecchio Umidificatore attivo (Laws medical - FL9000)</t>
  </si>
  <si>
    <t xml:space="preserve">3.1.2 </t>
  </si>
  <si>
    <t>3.1.1</t>
  </si>
  <si>
    <t xml:space="preserve">3.1.3 </t>
  </si>
  <si>
    <t>5</t>
  </si>
  <si>
    <t>6</t>
  </si>
  <si>
    <t>Ventilatore polmonare portatile integrato con monitor multiparametrico e defibrillatore manuale</t>
  </si>
  <si>
    <t>Ventilatori consegnati da Struttura Commissariale</t>
  </si>
  <si>
    <t>7</t>
  </si>
  <si>
    <t>8</t>
  </si>
  <si>
    <t>9</t>
  </si>
  <si>
    <t>11</t>
  </si>
  <si>
    <t>12 ex 15</t>
  </si>
  <si>
    <t>Materiale di consumo per pompa siringa farmaci</t>
  </si>
  <si>
    <t>12.1</t>
  </si>
  <si>
    <t>15.1</t>
  </si>
  <si>
    <t>15.2</t>
  </si>
  <si>
    <t>Workstation per pompe infusione (siringa)</t>
  </si>
  <si>
    <t>Workstation per pompe infusione (volumetriche)</t>
  </si>
  <si>
    <t>n. 20023251 del 11/12/2020 (pompe + WS)
n. 20023281 del 11/12/2020 (consumabili)</t>
  </si>
  <si>
    <t xml:space="preserve">n. 20023251 del 11/12/2020 (pompe + WS)
</t>
  </si>
  <si>
    <t>8525062FB3</t>
  </si>
  <si>
    <t>n. 1551 del 26/05/2021</t>
  </si>
  <si>
    <t>n. 7354 del 10/06/2021</t>
  </si>
  <si>
    <t>Materiale di consumo per pompa volumetrica</t>
  </si>
  <si>
    <t>13</t>
  </si>
  <si>
    <t>13.1</t>
  </si>
  <si>
    <t>8525081F61</t>
  </si>
  <si>
    <t>n. 20023119 del 10/12/2020 (pompe)</t>
  </si>
  <si>
    <t>n. 20023318 del 11/12/2020 (consumabili)</t>
  </si>
  <si>
    <t>n. 1298 del 06/05/2021 
n. 1792 del 22/06/2021</t>
  </si>
  <si>
    <t>n. 6142 del 13/05/2021    
n. 8970 del 13/07/2021</t>
  </si>
  <si>
    <t>14</t>
  </si>
  <si>
    <t>14.1</t>
  </si>
  <si>
    <t>Materiale di consumo per pompa nutrizione enterale</t>
  </si>
  <si>
    <t>Z2C2F51546</t>
  </si>
  <si>
    <t>n. 20023053 del 09/12/2020 (pompe)</t>
  </si>
  <si>
    <t>n. 20023325 del 11/12/2020 (consumabili)</t>
  </si>
  <si>
    <t>n. 1056 del  19/04/2021</t>
  </si>
  <si>
    <t>n. 5451 del 27/04/2021</t>
  </si>
  <si>
    <t>17.1</t>
  </si>
  <si>
    <t>17.3</t>
  </si>
  <si>
    <t>17.2</t>
  </si>
  <si>
    <t>17.4</t>
  </si>
  <si>
    <t>17.5</t>
  </si>
  <si>
    <t>17.6</t>
  </si>
  <si>
    <t>Arredi sanitari (Carrelli medicazione)</t>
  </si>
  <si>
    <t>Arredi sanitari (Carrelli a due ripiani)</t>
  </si>
  <si>
    <t>Arredi sanitari (Carrelli portacartelle)</t>
  </si>
  <si>
    <t>Arredi sanitari (Carrelli materiali/emergenza)</t>
  </si>
  <si>
    <t>Arredi sanitari (Tavolo servitore Mayo)</t>
  </si>
  <si>
    <t>Arredi sanitari (Tavolo servitore doppio ripiano)</t>
  </si>
  <si>
    <t>18</t>
  </si>
  <si>
    <t>pec prot. 2020-0059163</t>
  </si>
  <si>
    <t>10/12/2020 e 17/12/2020</t>
  </si>
  <si>
    <t>prot. 49136 del 30/09/2021 (fino al 31.03.2021)</t>
  </si>
  <si>
    <t>Videolaringoscopi (con lame)</t>
  </si>
  <si>
    <t xml:space="preserve">Ventilatore polmonare </t>
  </si>
  <si>
    <t>3.1</t>
  </si>
  <si>
    <t>Ossigeno Terapia ad alti flussi (Space - HFT500)</t>
  </si>
  <si>
    <t>4.1</t>
  </si>
  <si>
    <t>4.2</t>
  </si>
  <si>
    <t>9.1</t>
  </si>
  <si>
    <t>10.1</t>
  </si>
  <si>
    <t>11.1</t>
  </si>
  <si>
    <t>Workstation per pompe infusione volumetriche</t>
  </si>
  <si>
    <t>14.2</t>
  </si>
  <si>
    <t>14.3</t>
  </si>
  <si>
    <t>Colonna endoscopica terapia semi-intensiva</t>
  </si>
  <si>
    <t>Terapia Semi-Intensiva</t>
  </si>
  <si>
    <t>Ventilatori consegnati dalla Struttura Commissariale</t>
  </si>
  <si>
    <t>Realizzate con i  lavori</t>
  </si>
  <si>
    <t>Ecotomografo palmare</t>
  </si>
  <si>
    <t>Workstation per pompe infusione siringa</t>
  </si>
  <si>
    <t>Attrezzature informatiche (etichettatrice farmaci)</t>
  </si>
  <si>
    <t>Sistema per ossigenazione corporea extramembrana</t>
  </si>
  <si>
    <t>Monitor multiparametrico da trasporto  (dotati di carrello/staffa/braccio) - Mindray</t>
  </si>
  <si>
    <t>20023323 del 11/12/2020</t>
  </si>
  <si>
    <t>08/02/2021
23/04/2021 (completamento accessori)</t>
  </si>
  <si>
    <t>n. 1174 del  27/04/2021</t>
  </si>
  <si>
    <t>5599 del 30/04/2021 (manca pagamento IVA)</t>
  </si>
  <si>
    <t>Z962F36310</t>
  </si>
  <si>
    <t>n. 20023320 del 11/12/2020</t>
  </si>
  <si>
    <t>05/03/2021
23/09/2021</t>
  </si>
  <si>
    <t>det. N. 3006 del 19/10/2021</t>
  </si>
  <si>
    <t>n. 13544 del 26/10/2021</t>
  </si>
  <si>
    <t>n. 1326 del 10/05/2021</t>
  </si>
  <si>
    <t>21003661 del 03/03/2021</t>
  </si>
  <si>
    <t>8599589D54</t>
  </si>
  <si>
    <t>n. 2822 del 01/10/2021</t>
  </si>
  <si>
    <t>n. 12790 del 07/10/2021</t>
  </si>
  <si>
    <t>93348398D4</t>
  </si>
  <si>
    <t>9384073E01</t>
  </si>
  <si>
    <t>938388313A</t>
  </si>
  <si>
    <t>CONSIP: N. 6884825  DEL 21/07/2022 (ecografo) n. 000038214 del 31/08/2022 (accessori)
NSO: n. 22017587 e 22017594 del 20/09/2022</t>
  </si>
  <si>
    <t>9413855EE3</t>
  </si>
  <si>
    <t>In studio</t>
  </si>
  <si>
    <t>D.G.R. N. 611/2020 e D.G.R. 71/2022 e 103/2022 (rimodulazione)</t>
  </si>
  <si>
    <t>D14E22000420006; D84E22000540006; D14E22000430006; D84E22000550006;  D14E22000440006; D14E22000450006; D84E22000560006; D14E22000490006; D14E22000500006; D14E22000510006; D14E22000520006; D14E22000530006; D74E22000310006; D14E22000480006; D84E22000580006; D84E22000590006; D14E22000470006;  D14E22000460006; D84E22000570006; D14E22000540006; D84E22000600006; D14E22000550006; D54E22000300006; D14E22000560006;  D84E22000610006</t>
  </si>
  <si>
    <t xml:space="preserve">DGR n. 313 del 26.5.22;   determina n. 13BD.2022/D.00243  </t>
  </si>
  <si>
    <t xml:space="preserve">DGR n. 313 del 26.5.22;   </t>
  </si>
  <si>
    <t>Consegna/collaudo</t>
  </si>
  <si>
    <t>In attesa di indicazioni per lavori strutturali</t>
  </si>
  <si>
    <t>In corso di fornitura e liquidazione</t>
  </si>
  <si>
    <t>CONSIP: N. 6884902  DEL 21/07/2022 (ecografo) e n. 6920074 del 31/08/2022(accessori); ordine NSO n. 22018285 del 30/09/2022</t>
  </si>
  <si>
    <t xml:space="preserve">CONSIP: N. 6884572  DEL 21/07/2022 (ecografo) e N 69200612 del 31/08/2022 (accessori); ordini NSO n. n. 22018251, 22018252 e 22018259 del 29/09/2022, </t>
  </si>
  <si>
    <t xml:space="preserve">CONSIP: N. 6881227  DEL 19/07/2022 (ecografo) e n. 692099 del 31/08/2022 (accessori); ordine NSO n. 22018234 del 29/09/2022
</t>
  </si>
  <si>
    <t>CONSIP N. 6928452 del 07/09/2022 (ecotomografi) e  n. 6954389  del 27/09/2022 (accessori); ordini NSO n. 22018485-22018488-2022018493 del 04/10/2022</t>
  </si>
  <si>
    <t>CONSIP n. 6947148 del 22/09/2022 (ecotomografi) e  n. 6954403 del 27/09/2022 (accssori); ordini NSO n. 22018571-22018575 del 05/10/2022</t>
  </si>
  <si>
    <t>n. 11309 del 13/09/2022 (Canon)
n. 11978 del 29/09/2022 (Morviducci)</t>
  </si>
  <si>
    <t>Determina n. 2117 del 13/09/2022 (canon)
e Determina n. 2177 del 16/09/2022 (morviducci)</t>
  </si>
  <si>
    <t>n. 8147  del 01/07/2022 (primo ordine)</t>
  </si>
  <si>
    <t>D54E21003860002</t>
  </si>
  <si>
    <t>O.D. Stigliano</t>
  </si>
  <si>
    <t>Ambulatori</t>
  </si>
  <si>
    <t>Elettroencefalografo a 12 vie</t>
  </si>
  <si>
    <t>Elettrocardiografi a 12 Vie</t>
  </si>
  <si>
    <t>Centro Alzheimer</t>
  </si>
  <si>
    <t>26/10/2022 (completamento fornitura con Kit biopsia)</t>
  </si>
  <si>
    <t>Tinchi</t>
  </si>
  <si>
    <t>Vari</t>
  </si>
  <si>
    <t>Tricarico</t>
  </si>
  <si>
    <t>Ambulatori (Radiologia, Ginecologia)</t>
  </si>
  <si>
    <t>Anatomia Patologica</t>
  </si>
  <si>
    <t>delibera di presa d'atto n. 751 dell'11/11/2022</t>
  </si>
  <si>
    <t>Ecotomografo multidisciplinare</t>
  </si>
  <si>
    <t>Sistema onde urto (stimolatore transcranico a impulsi - TPS)</t>
  </si>
  <si>
    <t>Degenze</t>
  </si>
  <si>
    <t>Fondi Programma Operativo Val D'Agri - Ospedale di Stigliano</t>
  </si>
  <si>
    <t>2022</t>
  </si>
  <si>
    <t>n. 1001 del 22/04/2022</t>
  </si>
  <si>
    <t>trattativa diretta n. 1992881, stipula del 08/11/2022</t>
  </si>
  <si>
    <t>Z25392C244 (ordine CONSIP)</t>
  </si>
  <si>
    <t>n. 7080721 del 20/12/2022 (CONSIP)</t>
  </si>
  <si>
    <t>22024148 del 16/12/2022</t>
  </si>
  <si>
    <t>Test misurazione tempi di reazione</t>
  </si>
  <si>
    <t>Materassino a depressione per tavolo operatorio</t>
  </si>
  <si>
    <t>Varie</t>
  </si>
  <si>
    <t>Strumentario chirurgico  (Ortopedia. Urologia, Ostetricia e Ginecologia, generale, Sale Operatorie)</t>
  </si>
  <si>
    <t>Dermatoscopio portatile</t>
  </si>
  <si>
    <t>Agitatori da laboratorio - Vortice</t>
  </si>
  <si>
    <t>Agitatori da laboratorio -  Rotante</t>
  </si>
  <si>
    <t>Podoscopio/analizzatore posturale</t>
  </si>
  <si>
    <t>Poliambulatorio Matera</t>
  </si>
  <si>
    <t>Posizionatore ecografico</t>
  </si>
  <si>
    <t>Sigillatrice</t>
  </si>
  <si>
    <t>Barella per il trasporto in biocontenimento</t>
  </si>
  <si>
    <t>Cappe - Lotto 1</t>
  </si>
  <si>
    <t>Cappe - Lotto 2</t>
  </si>
  <si>
    <t>Cappe - Lotto 3</t>
  </si>
  <si>
    <t>Fisica Sanitaria/Esperto Qualificato</t>
  </si>
  <si>
    <t>Attrezzature fisica sanitaria</t>
  </si>
  <si>
    <t xml:space="preserve">Sistema per ossigenazione corporea extramembrana </t>
  </si>
  <si>
    <t>Spese procedimenti (art. 113 D. Lgs. 50/2016 e ss. mm. e ii.)</t>
  </si>
  <si>
    <t>det. N. 2805 del 25/11/2022</t>
  </si>
  <si>
    <t>ZF237323DD</t>
  </si>
  <si>
    <t>RDO 3121464, stipula del 29/11/2022</t>
  </si>
  <si>
    <t>RDO 3117894, stipula del 05/12/2022</t>
  </si>
  <si>
    <t>Z953728283</t>
  </si>
  <si>
    <t>det. N. 2850 del 05/12/2022</t>
  </si>
  <si>
    <t>Chirurgia e ORL: 25/10/2022
Ortopedia: 31/10/2022</t>
  </si>
  <si>
    <t>Chirurgia e ORL: 10/11/2022
Ortopedia: 30/11/2022</t>
  </si>
  <si>
    <t xml:space="preserve">Chirurgia e ORL: RDO 3256932
Ortopedia: RDO 3268832  </t>
  </si>
  <si>
    <t>Chirurgia e ORL: Z8C38499C8
Ortopedia: Z683861F21</t>
  </si>
  <si>
    <t>Chirurgia e ORL: det. 3125 del 22/12/2022
Ortopedia: det. 3126 del 22/12/2022</t>
  </si>
  <si>
    <t xml:space="preserve">RDO 3195117, </t>
  </si>
  <si>
    <t>Z6237CA9B7</t>
  </si>
  <si>
    <t>det. N. 3127 del 22/12/2022</t>
  </si>
  <si>
    <t>accessori ecotomografo multidiciplinare (software NT e stampante a colori)</t>
  </si>
  <si>
    <t>delibera n. 899 del 27/12/2022</t>
  </si>
  <si>
    <t>PSC Basilicata</t>
  </si>
  <si>
    <t>D94E22002010001</t>
  </si>
  <si>
    <t>TD 3346265</t>
  </si>
  <si>
    <t>Z3D378DAF6</t>
  </si>
  <si>
    <t xml:space="preserve">
RDO 3165663; </t>
  </si>
  <si>
    <t>ZD2378DBE7</t>
  </si>
  <si>
    <t>det. N. 3170 del 29/12/2022</t>
  </si>
  <si>
    <t>RDO 3063632</t>
  </si>
  <si>
    <t>ZBE36C2A24</t>
  </si>
  <si>
    <t>det. N 2976 del 13/12/2022</t>
  </si>
  <si>
    <t>ZF336C2AB3</t>
  </si>
  <si>
    <t>RDO 3063553</t>
  </si>
  <si>
    <t>RDO 3063450</t>
  </si>
  <si>
    <t>ZB736C2B32</t>
  </si>
  <si>
    <t>RDO 3196905</t>
  </si>
  <si>
    <t>Z8237CEB35</t>
  </si>
  <si>
    <t>det. N. 3128 del 22/12/2022</t>
  </si>
  <si>
    <t xml:space="preserve">TD 3350677, </t>
  </si>
  <si>
    <t>9539571F03</t>
  </si>
  <si>
    <t>8969540A8E</t>
  </si>
  <si>
    <t>det. 3194 del 30/12/2022</t>
  </si>
  <si>
    <t>det. n. 2705 del 15/11/2022</t>
  </si>
  <si>
    <t>RDO 2878759</t>
  </si>
  <si>
    <t>RDO 2899705, stipula del 24/11/2022</t>
  </si>
  <si>
    <t>det. N. 2159 del 16/09/2022</t>
  </si>
  <si>
    <t>LOTTO 1 89301809A8, LOTTO 2 8930185DC7 DESERTO</t>
  </si>
  <si>
    <t>92722262F4</t>
  </si>
  <si>
    <t>det. N. 3067 del 19/12/2022</t>
  </si>
  <si>
    <t>RDO 3169554, stipula del 21/12/2022</t>
  </si>
  <si>
    <t>software ecografo medicina</t>
  </si>
  <si>
    <t>Z0D395003C</t>
  </si>
  <si>
    <t>accordo quadro CONSIP</t>
  </si>
  <si>
    <t>ordine CONSIP n. n. 7096676  del 30/12/2022</t>
  </si>
  <si>
    <t>9574853AA5</t>
  </si>
  <si>
    <t>ordine CONSIP n. n. 7093466  del 28/12/2022</t>
  </si>
  <si>
    <t>18a</t>
  </si>
  <si>
    <t>18b</t>
  </si>
  <si>
    <t>Ambulatori (Diabetologia)</t>
  </si>
  <si>
    <t>Ambulatori (Cardiologia)</t>
  </si>
  <si>
    <t>16a</t>
  </si>
  <si>
    <t>16b</t>
  </si>
  <si>
    <t>18c</t>
  </si>
  <si>
    <t>stampante a colori ecografo cardiologia</t>
  </si>
  <si>
    <t>ordine CONSIP n. n. 7093534  del 28/12/2022</t>
  </si>
  <si>
    <t>Z5839500D7</t>
  </si>
  <si>
    <t>1a</t>
  </si>
  <si>
    <t>1b</t>
  </si>
  <si>
    <t>distretto Matera</t>
  </si>
  <si>
    <t>accessori per ecotomografo (comando a pedale)</t>
  </si>
  <si>
    <t>ZAD38372BB</t>
  </si>
  <si>
    <t>Accessori ecotomografo portatile (sonda settoriale)</t>
  </si>
  <si>
    <t>Z793838512</t>
  </si>
  <si>
    <t>Rimodulazione, in fase di pubblicazione</t>
  </si>
  <si>
    <t>da rendiconare</t>
  </si>
  <si>
    <t>in liquidazione</t>
  </si>
  <si>
    <t>da liquidare</t>
  </si>
  <si>
    <t>da rendicontare</t>
  </si>
  <si>
    <t>Da rendicontare</t>
  </si>
  <si>
    <t>- n. 2910 del 18/11/2019 (giugno-settembre 2019)
- n. 319 del 14/02/2020 (ottobre-novembre 2019)
- n 440 del 27/02/2020 (dicembre 2019)
- n. 1150 del 05/05/2020 (gennaio-febbraio 2020)
- n. 1247 del 19/05/202 (marzo 2020)
- n. 1616 dell'8/07/2020 (aprile-maggio 2020)
- n. 2090 del 31/08/2020 (giugno 2020)
- n. 2470 del 05/10/2020 (luglio 2020)
- n. 3000 del 20/11/2020 (agosto-settembre 2020)
- n. 3333 del 17/12/2020 (ottobre 2020)
- n. 106 del 25/01/20201 (novembre 2020)
- n. 1881 del 29/06/2021 (dicembre 2020)
- n. 1882 del 29/06/2021 (gennaio-aprile 2021)
- n. 2801 del 30/09/2021 (maggio-giugno 2021)
- n. 3197 dell'8/11/2021 (luglio-agosto 2021)
- n. 3690 del 22/12/2021 (settembre-ottobre 2021)
- n. 271 del 01/02/2022 (novembre 2021)
- n. 595 del 11/03/2022 (dicembre 2021)
- n. 596 del 11/03/2022 (gennaio 2022)
- n. 1212 del 16/05/2022 (febbraio 2022)
- n. 1475 del 15/06/2022 (marzo 2022)
- n. 1718 del 11/07/2022 (aprile-maggio 2022)
- n. 2322 del 29/09/2022 (giugno-luglio 2022)
- n. 2776 del 23/11/2022 (agosto 2022)
- n. 3113 del 21/12/2022 (settembre 2022)</t>
  </si>
  <si>
    <t>- n. 16584 del 26/11/2019
- n. 2126 del 24/02/2020
- n. 2797 del 12/03/2020
- n. 5087 dell'11/05/2020
- n. 6258 del 3/06/2020
- n. 7476 del 14/07/2020
- n. 11515 dell'8/10/2020
- n. 7583 del 17/06/2021
- n. 14221 del 3/12/2020
- n. 15184 del 17/12/2020
- n. 1799 dell'8/02/2021
- n. 9646 del 22/07/2021
- n. 9645 del 22/07/2021
- n. 13543 del 26/10/2021
- n. 14474 del 12/11/2021
- n. 1235 del 18/01/2022
- N. 2369 DEL 09/02/2022
- n. 5481 del 28/04/2022
- n. 5482 del 28/04/2022
- n. 7310 del 16/06/2022
- n. 7648 del 22/06/2022
- n. 10020 del 28/07/2022
- da recuperare
- da recuperare
- da recuperare</t>
  </si>
  <si>
    <t>2021
2023</t>
  </si>
  <si>
    <t>Z1B394ED75</t>
  </si>
  <si>
    <t>det. N. 004 del 09/01/2023</t>
  </si>
  <si>
    <t>N. 353 dell'11/02/2021 e det. N. 004 del 09/01/2023</t>
  </si>
  <si>
    <t>2020
29/12/2022</t>
  </si>
  <si>
    <t>23/11/2020
03/01/2023</t>
  </si>
  <si>
    <t>12/01/2021
04/01/2023</t>
  </si>
  <si>
    <t>11/02/2021
09/01/2023</t>
  </si>
  <si>
    <t>Z20394ECD8</t>
  </si>
  <si>
    <t>In corso</t>
  </si>
  <si>
    <t>Z44394ECBE</t>
  </si>
  <si>
    <t>Z0E394ECE5</t>
  </si>
  <si>
    <t>ZB2394ECFA</t>
  </si>
  <si>
    <t>957417397E</t>
  </si>
  <si>
    <t>Z0B394ED11</t>
  </si>
  <si>
    <t>Z2C394ED23</t>
  </si>
  <si>
    <t>Inserito in altro finanziamento</t>
  </si>
  <si>
    <t>Z75394ED34</t>
  </si>
  <si>
    <t>9a</t>
  </si>
  <si>
    <t>9b</t>
  </si>
  <si>
    <t>10a</t>
  </si>
  <si>
    <t>10b</t>
  </si>
  <si>
    <t>95975114A0</t>
  </si>
  <si>
    <t>1c</t>
  </si>
  <si>
    <t>accessori per ecotomografo (stampanti)</t>
  </si>
  <si>
    <t>in pubblicazione</t>
  </si>
  <si>
    <t>det. N. 004 del 09/01/2023 e det. 046 del 18/01/2023</t>
  </si>
  <si>
    <t>CONSIP n. n. 7115556 del 17/01/2023</t>
  </si>
  <si>
    <t>9604654B35</t>
  </si>
  <si>
    <t xml:space="preserve">20024714 del 01/12/2020 (Dic 2020) 
21001331 del 01/01/2021 (gen-mar 2021) 
21019921 del 01/04/2021 (aprile giugno 2021)      
21019923 del 01/07/2021 (luglio settembre 2021)   
210223998 del 01/10/2021 (ott-dic 2021) 
22005492 del 01/01/2022 (gen-marzo 2022)
220012214 del 01/04/2022 (apr-giu 2022)  
22019112 del 01/07/2022 (lug-sett 2022) 
22024396 del 01/10/2022 (ott-nov 2022) </t>
  </si>
  <si>
    <t>Determina n. 1313 del 07/05/2021</t>
  </si>
  <si>
    <t>del. N. 0981 del 20/11/2019 (presa d'atto)
det. N. 3041 del 28/10/2021 (UPS)</t>
  </si>
  <si>
    <t>20021987 del 24/11/2020 (TAC Canon)
21020219 del 28/10/2021 (UPS Morviducci)
21021575 del 16/11/2021 (lavori Morviducci)</t>
  </si>
  <si>
    <t>21021356 del 12/11/2021 
22002013 del 02/02/2022
22003805 del 03/03/2022
22013062 del 11/07/2022 
22016968 del 12/09/2022
22019547 del 18/10/2022
da effettuare ordine batterie</t>
  </si>
  <si>
    <t>Determina n. 1456 del 15/06/2022 (primo e secondo ordine)
determina n. 2611 del 02/11/2022 (3-4-5 ordine)
in attesa liquidazione 6 ordine</t>
  </si>
  <si>
    <t>determina n. 50 del 18/01/2023</t>
  </si>
  <si>
    <t>7579 del 17/06/2021 (imponibile dic 2020 e I trim 2021)) 
n. 9538 del 20/07/2021 (IVA giugno)
n. 14346 del 10/11/2021 (imponibile II e III trim)
n. 16331 del 27/12/2021 (IVA nov)
n. 1719 del 28/01/2022 (imponibile IV trim)
n. 3718 (IVA feb)
n. 7321 del 17/06/2022 (I trim 2022)
n. 9604 del 20/07/2022 (IVA giugno)
n. 108 del 13/01/2023 (II TRIM)
 n. 20910 del 21/02/2023 (IVA II TRIM)</t>
  </si>
  <si>
    <t>RDO 3248401 del 27/02/2023</t>
  </si>
  <si>
    <t>determina n. 48 del 18/01/2023</t>
  </si>
  <si>
    <t>RDO 3245310 ddel 27/02/2023</t>
  </si>
  <si>
    <t>n. 21002481 del 15/02/2021
m. 23004133 del 26/02/2023</t>
  </si>
  <si>
    <t>n. 23004134 del 26/02/2023</t>
  </si>
  <si>
    <t>n. 23004132 del 26/02/2023</t>
  </si>
  <si>
    <t>det. 4448 del 24/02/2023</t>
  </si>
  <si>
    <t>delibera di presa d'atto n. 119 del 24/02/2023</t>
  </si>
  <si>
    <t>n. 23005843 del 18/03/2023</t>
  </si>
  <si>
    <t>n. 23006042 del 22/03/2023</t>
  </si>
  <si>
    <t>n. 853 del 31/03/2023</t>
  </si>
  <si>
    <t>n. 854 del 31/03/2023</t>
  </si>
  <si>
    <t>det. N. 979 del 13/04/2023</t>
  </si>
  <si>
    <t>CONSIP n. 7107939 del 12/01/2023; NSO n. 23004755 del 07/03/2023</t>
  </si>
  <si>
    <t>n. 23010611 del 19/05/2023</t>
  </si>
  <si>
    <t>det. N 154 del 30/01/2023</t>
  </si>
  <si>
    <t>01/03/2021
02/05/2023</t>
  </si>
  <si>
    <t>09/04/2021 (completato 04/05/2021)
02/05/2023</t>
  </si>
  <si>
    <t>n. 23011270 del 30/05/2023</t>
  </si>
  <si>
    <t>Determina n. 369 del 15/02/2021
Determina di rettifica n. 2460 del 31/08/2021</t>
  </si>
  <si>
    <t>n. 1730 del 15/06/2021 (dicembre 2020 e gennaio-marzo 2021)
n. 3130 del 02/11/2021 (aprile 2021-giugno 2021 e luglio 2021-settembre 2021)
n. 179 del 24/01/2022 (ottobre-dicembre 2021)
n.  1466 del 15/06/2022 (gennaio-marzo 2022)
n. 2890 del 06/12/2022
n. 2890 del 16/12/2022 (aprile-giugno 2022); n. 1608 del 31/05/2023 (luglio-sett 2022), n. 69 del 18/01/2023 (ott-nov 2022)</t>
  </si>
  <si>
    <t>n. 1605 del 31/05/2021
n. 1609 del 31/05/2023</t>
  </si>
  <si>
    <t>det. liq. n. 1249 del 05/05/2023</t>
  </si>
  <si>
    <t>CONSIP: n. 7245506 del 27/04/2023 (mammografo) e n. 7259882 del 10/05/2023 (accessori)</t>
  </si>
  <si>
    <t>CIG 9793949E61</t>
  </si>
  <si>
    <t>det. Liq. 1675 del 07/06/2023</t>
  </si>
  <si>
    <t>ZF12F36314 (2020)
Z67394ED5A(2022)</t>
  </si>
  <si>
    <t>CONSIP n. 7115494 del 17/01/2023; NSO n. 23010085 del 12/05/2023</t>
  </si>
  <si>
    <t>CONSIP n. 7107939 del 12/01/2023 ; NSO n. 23004688 del 07/03/2023</t>
  </si>
  <si>
    <t>CONSIP n. 7296356 del 08/06/2023</t>
  </si>
  <si>
    <t>9879370A06 (philps) e 9877804DB7 (GE)</t>
  </si>
  <si>
    <t>CONSIP n. 7300347 (philips) del 12/06/2023 e n. 7300437 (GE) del 12/06/2023</t>
  </si>
  <si>
    <t>n. 23011906 del 07/06/2023</t>
  </si>
  <si>
    <t>n. 23009848 del 10/05/2023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</si>
</sst>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7" formatCode="#,##0.00\ &quot;€&quot;;\-#,##0.00\ &quot;€&quot;"/>
    <numFmt numFmtId="164" formatCode="&quot;€&quot;\ #,##0.00;\-&quot;€&quot;\ #,##0.00"/>
    <numFmt numFmtId="165" formatCode="&quot;€&quot;\ #,##0.00;[Red]\-&quot;€&quot;\ #,##0.00"/>
    <numFmt numFmtId="166" formatCode="_-&quot;€&quot;\ * #,##0.00_-;\-&quot;€&quot;\ * #,##0.00_-;_-&quot;€&quot;\ * &quot;-&quot;??_-;_-@_-"/>
    <numFmt numFmtId="167" formatCode="&quot;€&quot;\ #,##0.00"/>
    <numFmt numFmtId="168" formatCode="dd/mm/yy"/>
    <numFmt numFmtId="169" formatCode="#,##0.00\ &quot;€&quot;"/>
    <numFmt numFmtId="170" formatCode="[$€-2]\ #,##0.00;[Red]\-[$€-2]\ #,##0.00"/>
  </numFmts>
  <fonts count="19" x14ac:knownFonts="1">
    <font>
      <sz val="11"/>
      <color theme="1"/>
      <name val="Calibri"/>
      <family val="2"/>
      <scheme val="minor"/>
    </font>
    <font>
      <sz val="10"/>
      <name val="Arial"/>
      <family val="2"/>
    </font>
    <font>
      <b/>
      <sz val="9"/>
      <name val="Garamond"/>
      <family val="1"/>
    </font>
    <font>
      <sz val="9"/>
      <name val="Garamond"/>
      <family val="1"/>
    </font>
    <font>
      <sz val="10"/>
      <name val="Arial"/>
      <family val="2"/>
    </font>
    <font>
      <sz val="9"/>
      <name val="Arial"/>
      <family val="2"/>
    </font>
    <font>
      <sz val="10"/>
      <name val="Arial"/>
      <family val="2"/>
    </font>
    <font>
      <sz val="11"/>
      <name val="Garamond"/>
      <family val="1"/>
    </font>
    <font>
      <b/>
      <sz val="11"/>
      <color theme="1"/>
      <name val="Garamond"/>
      <family val="1"/>
    </font>
    <font>
      <sz val="11"/>
      <color theme="1"/>
      <name val="Garamond"/>
      <family val="1"/>
    </font>
    <font>
      <sz val="9"/>
      <color theme="1"/>
      <name val="Garamond"/>
      <family val="1"/>
    </font>
    <font>
      <sz val="10"/>
      <color rgb="FF000000"/>
      <name val="Garamond"/>
      <family val="1"/>
    </font>
    <font>
      <sz val="9"/>
      <color rgb="FFFF0000"/>
      <name val="Garamond"/>
      <family val="1"/>
    </font>
    <font>
      <b/>
      <sz val="10"/>
      <color theme="1"/>
      <name val="Garamond"/>
      <family val="1"/>
    </font>
    <font>
      <sz val="10"/>
      <color theme="1"/>
      <name val="Garamond"/>
      <family val="1"/>
    </font>
    <font>
      <sz val="10"/>
      <name val="Garamond"/>
      <family val="1"/>
    </font>
    <font>
      <b/>
      <sz val="10"/>
      <name val="Garamond"/>
      <family val="1"/>
    </font>
    <font>
      <sz val="9"/>
      <color theme="1"/>
      <name val="Calibri"/>
      <family val="2"/>
      <scheme val="minor"/>
    </font>
    <font>
      <b/>
      <sz val="9"/>
      <color theme="1"/>
      <name val="Garamond"/>
      <family val="1"/>
    </font>
  </fonts>
  <fills count="7">
    <fill>
      <patternFill patternType="none"/>
    </fill>
    <fill>
      <patternFill patternType="gray125"/>
    </fill>
    <fill>
      <patternFill patternType="solid">
        <fgColor indexed="51"/>
        <bgColor indexed="64"/>
      </patternFill>
    </fill>
    <fill>
      <patternFill patternType="solid">
        <fgColor rgb="FF92D050"/>
        <bgColor indexed="64"/>
      </patternFill>
    </fill>
    <fill>
      <patternFill patternType="solid">
        <fgColor rgb="FFFFC000"/>
        <bgColor indexed="64"/>
      </patternFill>
    </fill>
    <fill>
      <patternFill patternType="solid">
        <fgColor rgb="FFFFFF00"/>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s>
  <cellStyleXfs count="7">
    <xf numFmtId="0" fontId="0" fillId="0" borderId="0"/>
    <xf numFmtId="166" fontId="1" fillId="0" borderId="0" applyFont="0" applyFill="0" applyBorder="0" applyAlignment="0" applyProtection="0"/>
    <xf numFmtId="0" fontId="1" fillId="0" borderId="0"/>
    <xf numFmtId="0" fontId="4" fillId="0" borderId="0"/>
    <xf numFmtId="0" fontId="6" fillId="0" borderId="0"/>
    <xf numFmtId="0" fontId="1" fillId="0" borderId="0"/>
    <xf numFmtId="0" fontId="1" fillId="0" borderId="0"/>
  </cellStyleXfs>
  <cellXfs count="492">
    <xf numFmtId="0" fontId="0" fillId="0" borderId="0" xfId="0"/>
    <xf numFmtId="0" fontId="2" fillId="0" borderId="1" xfId="2" applyFont="1" applyFill="1" applyBorder="1" applyAlignment="1">
      <alignment horizontal="center" vertical="center"/>
    </xf>
    <xf numFmtId="167" fontId="2" fillId="0" borderId="1" xfId="2" applyNumberFormat="1" applyFont="1" applyFill="1" applyBorder="1" applyAlignment="1">
      <alignment horizontal="center" vertical="center" wrapText="1"/>
    </xf>
    <xf numFmtId="0" fontId="2" fillId="0" borderId="0" xfId="2" applyFont="1" applyFill="1" applyAlignment="1">
      <alignment horizontal="center" vertical="center"/>
    </xf>
    <xf numFmtId="0" fontId="3" fillId="0" borderId="1" xfId="2" applyFont="1" applyFill="1" applyBorder="1" applyAlignment="1">
      <alignment horizontal="center" vertical="center"/>
    </xf>
    <xf numFmtId="0" fontId="3" fillId="0" borderId="1" xfId="2" applyFont="1" applyFill="1" applyBorder="1" applyAlignment="1">
      <alignment vertical="center" wrapText="1"/>
    </xf>
    <xf numFmtId="0" fontId="3" fillId="0" borderId="1" xfId="2" applyFont="1" applyFill="1" applyBorder="1" applyAlignment="1">
      <alignment horizontal="center" vertical="center" wrapText="1"/>
    </xf>
    <xf numFmtId="167" fontId="3" fillId="0" borderId="1" xfId="2" applyNumberFormat="1" applyFont="1" applyFill="1" applyBorder="1" applyAlignment="1">
      <alignment horizontal="center" vertical="center" wrapText="1"/>
    </xf>
    <xf numFmtId="0" fontId="3" fillId="0" borderId="0" xfId="2" applyFont="1" applyFill="1" applyAlignment="1">
      <alignment vertical="center"/>
    </xf>
    <xf numFmtId="0" fontId="3" fillId="0" borderId="1" xfId="2" applyFont="1" applyFill="1" applyBorder="1" applyAlignment="1">
      <alignment horizontal="left" vertical="center" wrapText="1"/>
    </xf>
    <xf numFmtId="164" fontId="3" fillId="0" borderId="1" xfId="2" applyNumberFormat="1" applyFont="1" applyFill="1" applyBorder="1" applyAlignment="1">
      <alignment horizontal="center" vertical="center" wrapText="1"/>
    </xf>
    <xf numFmtId="0" fontId="3" fillId="0" borderId="0" xfId="2" applyFont="1" applyFill="1" applyAlignment="1">
      <alignment horizontal="center" vertical="center"/>
    </xf>
    <xf numFmtId="0" fontId="3" fillId="0" borderId="0" xfId="2" applyFont="1" applyFill="1" applyAlignment="1">
      <alignment vertical="center" wrapText="1"/>
    </xf>
    <xf numFmtId="0" fontId="3" fillId="0" borderId="0" xfId="2" applyFont="1" applyFill="1" applyAlignment="1">
      <alignment horizontal="center" vertical="center" wrapText="1"/>
    </xf>
    <xf numFmtId="167" fontId="3" fillId="0" borderId="0" xfId="2" applyNumberFormat="1" applyFont="1" applyFill="1" applyAlignment="1">
      <alignment horizontal="center" vertical="center" wrapText="1"/>
    </xf>
    <xf numFmtId="0" fontId="3" fillId="0" borderId="1" xfId="2" applyFont="1" applyFill="1" applyBorder="1" applyAlignment="1">
      <alignment vertical="center"/>
    </xf>
    <xf numFmtId="0" fontId="3" fillId="0" borderId="0" xfId="2" applyFont="1" applyFill="1" applyAlignment="1">
      <alignment horizontal="left" vertical="center" wrapText="1"/>
    </xf>
    <xf numFmtId="164" fontId="3" fillId="0" borderId="0" xfId="2" applyNumberFormat="1" applyFont="1" applyFill="1" applyAlignment="1">
      <alignment horizontal="center" vertical="center" wrapText="1"/>
    </xf>
    <xf numFmtId="164" fontId="2" fillId="2" borderId="1" xfId="2" applyNumberFormat="1" applyFont="1" applyFill="1" applyBorder="1" applyAlignment="1">
      <alignment horizontal="center" vertical="center" wrapText="1"/>
    </xf>
    <xf numFmtId="167" fontId="3" fillId="0" borderId="1" xfId="2" applyNumberFormat="1" applyFont="1" applyFill="1" applyBorder="1" applyAlignment="1">
      <alignment horizontal="center" vertical="center"/>
    </xf>
    <xf numFmtId="14" fontId="3" fillId="0" borderId="1" xfId="2" applyNumberFormat="1" applyFont="1" applyFill="1" applyBorder="1" applyAlignment="1">
      <alignment horizontal="center" vertical="center" wrapText="1"/>
    </xf>
    <xf numFmtId="0" fontId="2" fillId="0" borderId="0" xfId="3" applyFont="1" applyFill="1" applyAlignment="1">
      <alignment horizontal="center" vertical="center" wrapText="1"/>
    </xf>
    <xf numFmtId="49" fontId="3" fillId="0" borderId="1" xfId="3" applyNumberFormat="1" applyFont="1" applyFill="1" applyBorder="1" applyAlignment="1">
      <alignment horizontal="center" vertical="center"/>
    </xf>
    <xf numFmtId="0" fontId="3" fillId="0" borderId="0" xfId="3" applyFont="1" applyFill="1" applyAlignment="1">
      <alignment vertical="center"/>
    </xf>
    <xf numFmtId="167" fontId="2" fillId="0" borderId="2" xfId="3" applyNumberFormat="1" applyFont="1" applyFill="1" applyBorder="1" applyAlignment="1">
      <alignment horizontal="center" vertical="center" wrapText="1"/>
    </xf>
    <xf numFmtId="1" fontId="2" fillId="0" borderId="0" xfId="3" applyNumberFormat="1" applyFont="1" applyFill="1" applyAlignment="1">
      <alignment horizontal="center" vertical="center"/>
    </xf>
    <xf numFmtId="167" fontId="2" fillId="0" borderId="0" xfId="3" applyNumberFormat="1" applyFont="1" applyFill="1" applyBorder="1" applyAlignment="1">
      <alignment horizontal="center" vertical="center"/>
    </xf>
    <xf numFmtId="0" fontId="2" fillId="0" borderId="0" xfId="3" applyFont="1" applyFill="1" applyAlignment="1">
      <alignment horizontal="center" vertical="center"/>
    </xf>
    <xf numFmtId="0" fontId="3" fillId="0" borderId="0" xfId="3" applyFont="1" applyFill="1" applyAlignment="1">
      <alignment horizontal="center" vertical="center"/>
    </xf>
    <xf numFmtId="0" fontId="3" fillId="0" borderId="0" xfId="3" applyFont="1" applyFill="1" applyAlignment="1">
      <alignment horizontal="center" vertical="center" wrapText="1"/>
    </xf>
    <xf numFmtId="0" fontId="3" fillId="0" borderId="0" xfId="3" applyFont="1" applyFill="1" applyAlignment="1">
      <alignment vertical="center" wrapText="1"/>
    </xf>
    <xf numFmtId="167" fontId="3" fillId="0" borderId="0" xfId="3" applyNumberFormat="1" applyFont="1" applyFill="1" applyAlignment="1">
      <alignment horizontal="center" vertical="center" wrapText="1"/>
    </xf>
    <xf numFmtId="1" fontId="3" fillId="0" borderId="0" xfId="3" applyNumberFormat="1" applyFont="1" applyFill="1" applyAlignment="1">
      <alignment horizontal="center" vertical="center"/>
    </xf>
    <xf numFmtId="49" fontId="3" fillId="0" borderId="0" xfId="3" applyNumberFormat="1" applyFont="1" applyFill="1" applyAlignment="1">
      <alignment horizontal="center" vertical="center"/>
    </xf>
    <xf numFmtId="4" fontId="3" fillId="0" borderId="0" xfId="3" applyNumberFormat="1" applyFont="1" applyFill="1" applyAlignment="1">
      <alignment horizontal="center" vertical="center"/>
    </xf>
    <xf numFmtId="167" fontId="2" fillId="0" borderId="1" xfId="2" applyNumberFormat="1" applyFont="1" applyFill="1" applyBorder="1" applyAlignment="1">
      <alignment horizontal="center" vertical="center"/>
    </xf>
    <xf numFmtId="0" fontId="2" fillId="0" borderId="0" xfId="2" applyFont="1" applyFill="1" applyAlignment="1">
      <alignment vertical="center"/>
    </xf>
    <xf numFmtId="167" fontId="2" fillId="0" borderId="2" xfId="2" applyNumberFormat="1" applyFont="1" applyFill="1" applyBorder="1" applyAlignment="1">
      <alignment horizontal="center" vertical="center" wrapText="1"/>
    </xf>
    <xf numFmtId="0" fontId="3" fillId="0" borderId="1" xfId="4" applyFont="1" applyFill="1" applyBorder="1" applyAlignment="1">
      <alignment horizontal="center" vertical="center"/>
    </xf>
    <xf numFmtId="0" fontId="3" fillId="0" borderId="1" xfId="4" applyFont="1" applyFill="1" applyBorder="1" applyAlignment="1">
      <alignment vertical="center" wrapText="1"/>
    </xf>
    <xf numFmtId="0" fontId="3" fillId="0" borderId="1" xfId="4" applyFont="1" applyFill="1" applyBorder="1" applyAlignment="1">
      <alignment horizontal="center" vertical="center" wrapText="1"/>
    </xf>
    <xf numFmtId="167" fontId="3" fillId="0" borderId="1" xfId="4" applyNumberFormat="1" applyFont="1" applyFill="1" applyBorder="1" applyAlignment="1">
      <alignment horizontal="center" vertical="center" wrapText="1"/>
    </xf>
    <xf numFmtId="0" fontId="3" fillId="0" borderId="0" xfId="4" applyFont="1" applyFill="1" applyAlignment="1">
      <alignment vertical="center"/>
    </xf>
    <xf numFmtId="0" fontId="3" fillId="0" borderId="1" xfId="4" applyFont="1" applyFill="1" applyBorder="1" applyAlignment="1">
      <alignment horizontal="left" vertical="center" wrapText="1"/>
    </xf>
    <xf numFmtId="0" fontId="3" fillId="0" borderId="0" xfId="4" applyFont="1" applyFill="1" applyBorder="1" applyAlignment="1">
      <alignment vertical="center"/>
    </xf>
    <xf numFmtId="2" fontId="3" fillId="0" borderId="1" xfId="2" applyNumberFormat="1" applyFont="1" applyFill="1" applyBorder="1" applyAlignment="1">
      <alignment horizontal="left" vertical="center"/>
    </xf>
    <xf numFmtId="1" fontId="3" fillId="0" borderId="1" xfId="2" applyNumberFormat="1" applyFont="1" applyFill="1" applyBorder="1" applyAlignment="1">
      <alignment horizontal="center" vertical="center"/>
    </xf>
    <xf numFmtId="10" fontId="2" fillId="2" borderId="1" xfId="2" applyNumberFormat="1" applyFont="1" applyFill="1" applyBorder="1" applyAlignment="1">
      <alignment horizontal="center" vertical="center" wrapText="1"/>
    </xf>
    <xf numFmtId="10" fontId="3" fillId="0" borderId="1" xfId="2" applyNumberFormat="1" applyFont="1" applyFill="1" applyBorder="1" applyAlignment="1">
      <alignment horizontal="center" vertical="center"/>
    </xf>
    <xf numFmtId="10" fontId="3" fillId="0" borderId="0" xfId="2" applyNumberFormat="1" applyFont="1" applyFill="1" applyAlignment="1">
      <alignment horizontal="center" vertical="center"/>
    </xf>
    <xf numFmtId="10" fontId="3" fillId="0" borderId="1" xfId="3" applyNumberFormat="1" applyFont="1" applyFill="1" applyBorder="1" applyAlignment="1">
      <alignment horizontal="center" vertical="center"/>
    </xf>
    <xf numFmtId="10" fontId="2" fillId="0" borderId="0" xfId="3" applyNumberFormat="1" applyFont="1" applyFill="1" applyBorder="1" applyAlignment="1">
      <alignment horizontal="center" vertical="center"/>
    </xf>
    <xf numFmtId="10" fontId="3" fillId="0" borderId="0" xfId="3" applyNumberFormat="1" applyFont="1" applyFill="1" applyAlignment="1">
      <alignment horizontal="center" vertical="center"/>
    </xf>
    <xf numFmtId="10" fontId="3" fillId="0" borderId="1" xfId="4" applyNumberFormat="1" applyFont="1" applyFill="1" applyBorder="1" applyAlignment="1">
      <alignment horizontal="center" vertical="center"/>
    </xf>
    <xf numFmtId="10" fontId="3" fillId="0" borderId="1" xfId="2" applyNumberFormat="1" applyFont="1" applyFill="1" applyBorder="1" applyAlignment="1">
      <alignment horizontal="center" vertical="center" wrapText="1"/>
    </xf>
    <xf numFmtId="10" fontId="3" fillId="0" borderId="0" xfId="2" applyNumberFormat="1" applyFont="1" applyFill="1" applyAlignment="1">
      <alignment horizontal="center" vertical="center" wrapText="1"/>
    </xf>
    <xf numFmtId="164" fontId="2" fillId="0" borderId="1" xfId="2" applyNumberFormat="1" applyFont="1" applyFill="1" applyBorder="1" applyAlignment="1">
      <alignment horizontal="center" vertical="center" wrapText="1"/>
    </xf>
    <xf numFmtId="14" fontId="3" fillId="0" borderId="1" xfId="4" applyNumberFormat="1" applyFont="1" applyFill="1" applyBorder="1" applyAlignment="1">
      <alignment horizontal="center" vertical="center"/>
    </xf>
    <xf numFmtId="1" fontId="3" fillId="0" borderId="1" xfId="3" applyNumberFormat="1" applyFont="1" applyFill="1" applyBorder="1" applyAlignment="1">
      <alignment horizontal="center" vertical="center"/>
    </xf>
    <xf numFmtId="167" fontId="5" fillId="0" borderId="0" xfId="3" applyNumberFormat="1" applyFont="1" applyFill="1" applyAlignment="1">
      <alignment horizontal="center"/>
    </xf>
    <xf numFmtId="167" fontId="3" fillId="0" borderId="0" xfId="3" applyNumberFormat="1" applyFont="1" applyFill="1" applyAlignment="1">
      <alignment horizontal="center" vertical="center"/>
    </xf>
    <xf numFmtId="14" fontId="3" fillId="0" borderId="0" xfId="3" applyNumberFormat="1" applyFont="1" applyFill="1" applyAlignment="1">
      <alignment horizontal="center" vertical="center"/>
    </xf>
    <xf numFmtId="14" fontId="2" fillId="0" borderId="0" xfId="3" applyNumberFormat="1" applyFont="1" applyFill="1" applyBorder="1" applyAlignment="1">
      <alignment horizontal="center" vertical="center"/>
    </xf>
    <xf numFmtId="0" fontId="2" fillId="2" borderId="1" xfId="2" applyFont="1" applyFill="1" applyBorder="1" applyAlignment="1">
      <alignment horizontal="center" vertical="center"/>
    </xf>
    <xf numFmtId="0" fontId="2" fillId="2" borderId="1" xfId="2" applyFont="1" applyFill="1" applyBorder="1" applyAlignment="1">
      <alignment horizontal="center" vertical="center" wrapText="1"/>
    </xf>
    <xf numFmtId="14" fontId="2" fillId="2" borderId="1" xfId="2" applyNumberFormat="1" applyFont="1" applyFill="1" applyBorder="1" applyAlignment="1">
      <alignment horizontal="center" vertical="center" wrapText="1"/>
    </xf>
    <xf numFmtId="14" fontId="2" fillId="2" borderId="1" xfId="3" applyNumberFormat="1" applyFont="1" applyFill="1" applyBorder="1" applyAlignment="1">
      <alignment horizontal="center" vertical="center" wrapText="1"/>
    </xf>
    <xf numFmtId="167" fontId="2" fillId="0" borderId="0" xfId="2" applyNumberFormat="1" applyFont="1" applyFill="1" applyAlignment="1">
      <alignment horizontal="center" vertical="center" wrapText="1"/>
    </xf>
    <xf numFmtId="0" fontId="3" fillId="0" borderId="1" xfId="4" applyFont="1" applyFill="1" applyBorder="1" applyAlignment="1">
      <alignment vertical="center"/>
    </xf>
    <xf numFmtId="0" fontId="3" fillId="0" borderId="1" xfId="5" applyFont="1" applyFill="1" applyBorder="1" applyAlignment="1">
      <alignment horizontal="center" vertical="center" wrapText="1"/>
    </xf>
    <xf numFmtId="0" fontId="3" fillId="0" borderId="1" xfId="5" applyFont="1" applyFill="1" applyBorder="1" applyAlignment="1">
      <alignment horizontal="center" vertical="center"/>
    </xf>
    <xf numFmtId="49" fontId="3" fillId="0" borderId="1" xfId="2" applyNumberFormat="1" applyFont="1" applyFill="1" applyBorder="1" applyAlignment="1">
      <alignment horizontal="center" vertical="center" wrapText="1"/>
    </xf>
    <xf numFmtId="4" fontId="3" fillId="0" borderId="1" xfId="3" applyNumberFormat="1" applyFont="1" applyFill="1" applyBorder="1" applyAlignment="1">
      <alignment horizontal="center" vertical="center"/>
    </xf>
    <xf numFmtId="0" fontId="3" fillId="0" borderId="1" xfId="5" applyFont="1" applyFill="1" applyBorder="1" applyAlignment="1">
      <alignment vertical="center" wrapText="1"/>
    </xf>
    <xf numFmtId="167" fontId="3" fillId="0" borderId="1" xfId="4" applyNumberFormat="1" applyFont="1" applyFill="1" applyBorder="1" applyAlignment="1">
      <alignment horizontal="center" vertical="center"/>
    </xf>
    <xf numFmtId="167" fontId="2" fillId="0" borderId="2" xfId="4" applyNumberFormat="1" applyFont="1" applyFill="1" applyBorder="1" applyAlignment="1">
      <alignment horizontal="center" vertical="center" wrapText="1"/>
    </xf>
    <xf numFmtId="167" fontId="2" fillId="0" borderId="0" xfId="4" applyNumberFormat="1" applyFont="1" applyFill="1" applyBorder="1" applyAlignment="1">
      <alignment horizontal="center" vertical="center" wrapText="1"/>
    </xf>
    <xf numFmtId="0" fontId="3" fillId="0" borderId="0" xfId="4" applyFont="1" applyFill="1" applyAlignment="1">
      <alignment horizontal="center" vertical="center"/>
    </xf>
    <xf numFmtId="10" fontId="3" fillId="0" borderId="0" xfId="4" applyNumberFormat="1" applyFont="1" applyFill="1" applyAlignment="1">
      <alignment horizontal="center" vertical="center"/>
    </xf>
    <xf numFmtId="0" fontId="3" fillId="0" borderId="0" xfId="4" applyFont="1" applyFill="1" applyAlignment="1">
      <alignment horizontal="center" vertical="center" wrapText="1"/>
    </xf>
    <xf numFmtId="0" fontId="3" fillId="0" borderId="0" xfId="4" applyFont="1" applyFill="1" applyAlignment="1">
      <alignment vertical="center" wrapText="1"/>
    </xf>
    <xf numFmtId="167" fontId="3" fillId="0" borderId="0" xfId="4" applyNumberFormat="1" applyFont="1" applyFill="1" applyAlignment="1">
      <alignment horizontal="center" vertical="center" wrapText="1"/>
    </xf>
    <xf numFmtId="167" fontId="3" fillId="0" borderId="0" xfId="4" applyNumberFormat="1" applyFont="1" applyFill="1" applyAlignment="1">
      <alignment vertical="center"/>
    </xf>
    <xf numFmtId="165" fontId="3" fillId="0" borderId="0" xfId="4" applyNumberFormat="1" applyFont="1" applyFill="1" applyAlignment="1">
      <alignment vertical="center"/>
    </xf>
    <xf numFmtId="49" fontId="3" fillId="0" borderId="0" xfId="4" applyNumberFormat="1" applyFont="1" applyFill="1" applyAlignment="1">
      <alignment horizontal="center" vertical="center" wrapText="1"/>
    </xf>
    <xf numFmtId="0" fontId="3" fillId="3" borderId="1" xfId="4" applyFont="1" applyFill="1" applyBorder="1" applyAlignment="1">
      <alignment horizontal="center" vertical="center"/>
    </xf>
    <xf numFmtId="0" fontId="3" fillId="3" borderId="1" xfId="4" applyFont="1" applyFill="1" applyBorder="1" applyAlignment="1">
      <alignment horizontal="center" vertical="center" wrapText="1"/>
    </xf>
    <xf numFmtId="0" fontId="3" fillId="3" borderId="1" xfId="4" applyFont="1" applyFill="1" applyBorder="1" applyAlignment="1">
      <alignment vertical="center" wrapText="1"/>
    </xf>
    <xf numFmtId="167" fontId="3" fillId="3" borderId="1" xfId="4" applyNumberFormat="1" applyFont="1" applyFill="1" applyBorder="1" applyAlignment="1">
      <alignment horizontal="center" vertical="center" wrapText="1"/>
    </xf>
    <xf numFmtId="167" fontId="3" fillId="0" borderId="1" xfId="5" applyNumberFormat="1" applyFont="1" applyFill="1" applyBorder="1" applyAlignment="1">
      <alignment horizontal="center" vertical="center" wrapText="1"/>
    </xf>
    <xf numFmtId="0" fontId="3" fillId="0" borderId="1" xfId="6" applyFont="1" applyFill="1" applyBorder="1" applyAlignment="1">
      <alignment vertical="center" wrapText="1"/>
    </xf>
    <xf numFmtId="0" fontId="3" fillId="3" borderId="1" xfId="2" applyFont="1" applyFill="1" applyBorder="1" applyAlignment="1">
      <alignment horizontal="center" vertical="center" wrapText="1"/>
    </xf>
    <xf numFmtId="0" fontId="3" fillId="3" borderId="1" xfId="2" applyFont="1" applyFill="1" applyBorder="1" applyAlignment="1">
      <alignment vertical="center" wrapText="1"/>
    </xf>
    <xf numFmtId="167" fontId="3" fillId="3" borderId="1" xfId="2" applyNumberFormat="1" applyFont="1" applyFill="1" applyBorder="1" applyAlignment="1">
      <alignment horizontal="center" vertical="center" wrapText="1"/>
    </xf>
    <xf numFmtId="164" fontId="3" fillId="3" borderId="1" xfId="4" applyNumberFormat="1" applyFont="1" applyFill="1" applyBorder="1" applyAlignment="1">
      <alignment horizontal="center" vertical="center" wrapText="1"/>
    </xf>
    <xf numFmtId="2" fontId="3" fillId="3" borderId="1" xfId="2" applyNumberFormat="1" applyFont="1" applyFill="1" applyBorder="1" applyAlignment="1">
      <alignment horizontal="left" vertical="center"/>
    </xf>
    <xf numFmtId="0" fontId="3" fillId="3" borderId="1" xfId="2" applyFont="1" applyFill="1" applyBorder="1" applyAlignment="1">
      <alignment horizontal="center" vertical="center"/>
    </xf>
    <xf numFmtId="0" fontId="3" fillId="3" borderId="1" xfId="2" applyFont="1" applyFill="1" applyBorder="1" applyAlignment="1">
      <alignment horizontal="left" vertical="center" wrapText="1"/>
    </xf>
    <xf numFmtId="164" fontId="3" fillId="3" borderId="1" xfId="2" applyNumberFormat="1" applyFont="1" applyFill="1" applyBorder="1" applyAlignment="1">
      <alignment horizontal="center" vertical="center" wrapText="1"/>
    </xf>
    <xf numFmtId="167" fontId="3" fillId="3" borderId="1" xfId="2" applyNumberFormat="1" applyFont="1" applyFill="1" applyBorder="1" applyAlignment="1">
      <alignment horizontal="center" vertical="center"/>
    </xf>
    <xf numFmtId="10" fontId="3" fillId="3" borderId="1" xfId="2" applyNumberFormat="1" applyFont="1" applyFill="1" applyBorder="1" applyAlignment="1">
      <alignment horizontal="center" vertical="center"/>
    </xf>
    <xf numFmtId="14" fontId="3" fillId="3" borderId="1" xfId="2" applyNumberFormat="1" applyFont="1" applyFill="1" applyBorder="1" applyAlignment="1">
      <alignment horizontal="center" vertical="center" wrapText="1"/>
    </xf>
    <xf numFmtId="14" fontId="3" fillId="3" borderId="1" xfId="2" applyNumberFormat="1" applyFont="1" applyFill="1" applyBorder="1" applyAlignment="1">
      <alignment horizontal="center" vertical="center"/>
    </xf>
    <xf numFmtId="0" fontId="3" fillId="3" borderId="1" xfId="2" applyFont="1" applyFill="1" applyBorder="1" applyAlignment="1">
      <alignment vertical="center"/>
    </xf>
    <xf numFmtId="167" fontId="3" fillId="0" borderId="1" xfId="3" applyNumberFormat="1" applyFont="1" applyFill="1" applyBorder="1" applyAlignment="1">
      <alignment horizontal="center" vertical="center" wrapText="1"/>
    </xf>
    <xf numFmtId="0" fontId="3" fillId="3" borderId="1" xfId="3" applyFont="1" applyFill="1" applyBorder="1" applyAlignment="1">
      <alignment horizontal="center" vertical="center"/>
    </xf>
    <xf numFmtId="10" fontId="3" fillId="3" borderId="1" xfId="3" applyNumberFormat="1" applyFont="1" applyFill="1" applyBorder="1" applyAlignment="1">
      <alignment horizontal="center" vertical="center"/>
    </xf>
    <xf numFmtId="0" fontId="3" fillId="3" borderId="1" xfId="4" applyFont="1" applyFill="1" applyBorder="1" applyAlignment="1">
      <alignment horizontal="left" vertical="center" wrapText="1"/>
    </xf>
    <xf numFmtId="14" fontId="3" fillId="3" borderId="1" xfId="4" applyNumberFormat="1" applyFont="1" applyFill="1" applyBorder="1" applyAlignment="1">
      <alignment horizontal="center" vertical="center"/>
    </xf>
    <xf numFmtId="0" fontId="3" fillId="3" borderId="1" xfId="5" applyFont="1" applyFill="1" applyBorder="1" applyAlignment="1">
      <alignment horizontal="center" vertical="center"/>
    </xf>
    <xf numFmtId="14" fontId="3" fillId="3" borderId="1" xfId="4" applyNumberFormat="1" applyFont="1" applyFill="1" applyBorder="1" applyAlignment="1">
      <alignment horizontal="center" vertical="center" wrapText="1"/>
    </xf>
    <xf numFmtId="14" fontId="2" fillId="0" borderId="0" xfId="3" applyNumberFormat="1" applyFont="1" applyFill="1" applyAlignment="1">
      <alignment horizontal="center" vertical="center" wrapText="1"/>
    </xf>
    <xf numFmtId="14" fontId="3" fillId="0" borderId="0" xfId="3" applyNumberFormat="1" applyFont="1" applyFill="1" applyAlignment="1">
      <alignment horizontal="center" vertical="center" wrapText="1"/>
    </xf>
    <xf numFmtId="49" fontId="3" fillId="0" borderId="1" xfId="4" applyNumberFormat="1" applyFont="1" applyFill="1" applyBorder="1" applyAlignment="1">
      <alignment horizontal="center" vertical="center" wrapText="1"/>
    </xf>
    <xf numFmtId="0" fontId="2" fillId="0" borderId="1" xfId="2" applyFont="1" applyFill="1" applyBorder="1" applyAlignment="1">
      <alignment vertical="center"/>
    </xf>
    <xf numFmtId="167" fontId="3" fillId="0" borderId="0" xfId="4" applyNumberFormat="1" applyFont="1" applyFill="1" applyBorder="1" applyAlignment="1">
      <alignment horizontal="center" vertical="center" wrapText="1"/>
    </xf>
    <xf numFmtId="167" fontId="3" fillId="0" borderId="0" xfId="4" applyNumberFormat="1" applyFont="1" applyFill="1" applyBorder="1" applyAlignment="1">
      <alignment vertical="center"/>
    </xf>
    <xf numFmtId="0" fontId="7" fillId="0" borderId="0" xfId="4" applyFont="1" applyFill="1" applyAlignment="1">
      <alignment horizontal="center" vertical="center"/>
    </xf>
    <xf numFmtId="0" fontId="7" fillId="0" borderId="1" xfId="4" applyFont="1" applyFill="1" applyBorder="1" applyAlignment="1">
      <alignment horizontal="center" vertical="center"/>
    </xf>
    <xf numFmtId="167" fontId="7" fillId="0" borderId="1" xfId="2" applyNumberFormat="1" applyFont="1" applyFill="1" applyBorder="1" applyAlignment="1">
      <alignment horizontal="center" vertical="center" wrapText="1"/>
    </xf>
    <xf numFmtId="0" fontId="3" fillId="0" borderId="1" xfId="3" applyFont="1" applyFill="1" applyBorder="1" applyAlignment="1">
      <alignment horizontal="center" vertical="center" wrapText="1"/>
    </xf>
    <xf numFmtId="0" fontId="3" fillId="3" borderId="1" xfId="3" applyFont="1" applyFill="1" applyBorder="1" applyAlignment="1">
      <alignment vertical="center" wrapText="1"/>
    </xf>
    <xf numFmtId="49" fontId="3" fillId="3" borderId="1" xfId="3" applyNumberFormat="1" applyFont="1" applyFill="1" applyBorder="1" applyAlignment="1">
      <alignment horizontal="center" vertical="center"/>
    </xf>
    <xf numFmtId="14" fontId="3" fillId="3" borderId="1" xfId="3" applyNumberFormat="1" applyFont="1" applyFill="1" applyBorder="1" applyAlignment="1">
      <alignment horizontal="center" vertical="center"/>
    </xf>
    <xf numFmtId="2" fontId="3" fillId="3" borderId="1" xfId="3" applyNumberFormat="1" applyFont="1" applyFill="1" applyBorder="1" applyAlignment="1">
      <alignment horizontal="left" vertical="center"/>
    </xf>
    <xf numFmtId="1" fontId="3" fillId="3" borderId="1" xfId="3" applyNumberFormat="1" applyFont="1" applyFill="1" applyBorder="1" applyAlignment="1">
      <alignment horizontal="center" vertical="center"/>
    </xf>
    <xf numFmtId="1" fontId="3" fillId="3" borderId="1" xfId="3" applyNumberFormat="1" applyFont="1" applyFill="1" applyBorder="1" applyAlignment="1">
      <alignment horizontal="center" vertical="center" wrapText="1"/>
    </xf>
    <xf numFmtId="49" fontId="3" fillId="3" borderId="1" xfId="3" applyNumberFormat="1" applyFont="1" applyFill="1" applyBorder="1" applyAlignment="1">
      <alignment horizontal="center" vertical="center" wrapText="1"/>
    </xf>
    <xf numFmtId="14" fontId="2" fillId="3" borderId="1" xfId="3" applyNumberFormat="1" applyFont="1" applyFill="1" applyBorder="1" applyAlignment="1">
      <alignment horizontal="center" vertical="center"/>
    </xf>
    <xf numFmtId="0" fontId="3" fillId="3" borderId="1" xfId="5" applyFont="1" applyFill="1" applyBorder="1" applyAlignment="1">
      <alignment horizontal="center" vertical="center" wrapText="1"/>
    </xf>
    <xf numFmtId="1" fontId="3" fillId="3" borderId="1" xfId="4" applyNumberFormat="1" applyFont="1" applyFill="1" applyBorder="1" applyAlignment="1">
      <alignment horizontal="center" vertical="center"/>
    </xf>
    <xf numFmtId="168" fontId="3" fillId="3" borderId="1" xfId="2" applyNumberFormat="1" applyFont="1" applyFill="1" applyBorder="1" applyAlignment="1">
      <alignment horizontal="center" vertical="center"/>
    </xf>
    <xf numFmtId="1" fontId="3" fillId="3" borderId="1" xfId="2" applyNumberFormat="1" applyFont="1" applyFill="1" applyBorder="1" applyAlignment="1">
      <alignment horizontal="center" vertical="center"/>
    </xf>
    <xf numFmtId="0" fontId="3" fillId="3" borderId="1" xfId="6" applyFont="1" applyFill="1" applyBorder="1" applyAlignment="1">
      <alignment horizontal="center" vertical="center" wrapText="1"/>
    </xf>
    <xf numFmtId="0" fontId="7" fillId="0" borderId="1" xfId="4" applyFont="1" applyFill="1" applyBorder="1" applyAlignment="1">
      <alignment horizontal="center" vertical="center" wrapText="1"/>
    </xf>
    <xf numFmtId="0" fontId="7" fillId="0" borderId="0" xfId="4" applyFont="1" applyFill="1" applyAlignment="1">
      <alignment horizontal="center" vertical="center" wrapText="1"/>
    </xf>
    <xf numFmtId="49" fontId="3" fillId="3" borderId="1" xfId="2" applyNumberFormat="1" applyFont="1" applyFill="1" applyBorder="1" applyAlignment="1">
      <alignment horizontal="center" vertical="center" wrapText="1"/>
    </xf>
    <xf numFmtId="0" fontId="3" fillId="3" borderId="1" xfId="0" applyFont="1" applyFill="1" applyBorder="1" applyAlignment="1">
      <alignment horizontal="center" vertical="center"/>
    </xf>
    <xf numFmtId="14" fontId="2" fillId="3" borderId="1" xfId="4" applyNumberFormat="1" applyFont="1" applyFill="1" applyBorder="1" applyAlignment="1">
      <alignment horizontal="center" vertical="center"/>
    </xf>
    <xf numFmtId="3" fontId="3" fillId="0" borderId="1" xfId="4" applyNumberFormat="1" applyFont="1" applyFill="1" applyBorder="1" applyAlignment="1">
      <alignment horizontal="center" vertical="center" wrapText="1"/>
    </xf>
    <xf numFmtId="0" fontId="3" fillId="0" borderId="0" xfId="5" applyFont="1" applyFill="1" applyAlignment="1">
      <alignment vertical="center"/>
    </xf>
    <xf numFmtId="0" fontId="3" fillId="0" borderId="5" xfId="4" applyFont="1" applyFill="1" applyBorder="1" applyAlignment="1">
      <alignment horizontal="center" vertical="center"/>
    </xf>
    <xf numFmtId="0" fontId="3" fillId="0" borderId="5" xfId="4" applyFont="1" applyFill="1" applyBorder="1" applyAlignment="1">
      <alignment horizontal="center" vertical="center" wrapText="1"/>
    </xf>
    <xf numFmtId="0" fontId="3" fillId="0" borderId="5" xfId="4" applyFont="1" applyFill="1" applyBorder="1" applyAlignment="1">
      <alignment vertical="center" wrapText="1"/>
    </xf>
    <xf numFmtId="0" fontId="3" fillId="0" borderId="5" xfId="2" applyFont="1" applyFill="1" applyBorder="1" applyAlignment="1">
      <alignment vertical="center" wrapText="1"/>
    </xf>
    <xf numFmtId="167" fontId="3" fillId="0" borderId="5" xfId="4" applyNumberFormat="1" applyFont="1" applyFill="1" applyBorder="1" applyAlignment="1">
      <alignment horizontal="center" vertical="center" wrapText="1"/>
    </xf>
    <xf numFmtId="3" fontId="3" fillId="0" borderId="5" xfId="4" applyNumberFormat="1" applyFont="1" applyFill="1" applyBorder="1" applyAlignment="1">
      <alignment horizontal="center" vertical="center" wrapText="1"/>
    </xf>
    <xf numFmtId="167" fontId="3" fillId="0" borderId="5" xfId="4" applyNumberFormat="1" applyFont="1" applyFill="1" applyBorder="1" applyAlignment="1">
      <alignment horizontal="center" vertical="center"/>
    </xf>
    <xf numFmtId="0" fontId="3" fillId="0" borderId="5" xfId="4" applyFont="1" applyFill="1" applyBorder="1" applyAlignment="1">
      <alignment vertical="center"/>
    </xf>
    <xf numFmtId="49" fontId="3" fillId="0" borderId="5" xfId="4" applyNumberFormat="1" applyFont="1" applyFill="1" applyBorder="1" applyAlignment="1">
      <alignment horizontal="center" vertical="center" wrapText="1"/>
    </xf>
    <xf numFmtId="0" fontId="7" fillId="0" borderId="5" xfId="4" applyFont="1" applyFill="1" applyBorder="1" applyAlignment="1">
      <alignment horizontal="center" vertical="center"/>
    </xf>
    <xf numFmtId="0" fontId="7" fillId="0" borderId="5" xfId="4" applyFont="1" applyFill="1" applyBorder="1" applyAlignment="1">
      <alignment horizontal="center" vertical="center" wrapText="1"/>
    </xf>
    <xf numFmtId="0" fontId="3" fillId="0" borderId="1" xfId="6" applyFont="1" applyFill="1" applyBorder="1" applyAlignment="1">
      <alignment horizontal="center" vertical="center" wrapText="1"/>
    </xf>
    <xf numFmtId="1" fontId="3" fillId="0" borderId="1" xfId="6" applyNumberFormat="1" applyFont="1" applyFill="1" applyBorder="1" applyAlignment="1">
      <alignment horizontal="center" vertical="center"/>
    </xf>
    <xf numFmtId="167" fontId="3" fillId="0" borderId="1" xfId="3" applyNumberFormat="1" applyFont="1" applyFill="1" applyBorder="1" applyAlignment="1">
      <alignment horizontal="center" vertical="center"/>
    </xf>
    <xf numFmtId="14" fontId="3" fillId="0" borderId="1" xfId="3" applyNumberFormat="1" applyFont="1" applyFill="1" applyBorder="1" applyAlignment="1">
      <alignment horizontal="center" vertical="center"/>
    </xf>
    <xf numFmtId="14" fontId="3" fillId="0" borderId="1" xfId="3" applyNumberFormat="1" applyFont="1" applyFill="1" applyBorder="1" applyAlignment="1">
      <alignment horizontal="center" vertical="center" wrapText="1"/>
    </xf>
    <xf numFmtId="0" fontId="3" fillId="0" borderId="1" xfId="3" applyFont="1" applyFill="1" applyBorder="1" applyAlignment="1">
      <alignment horizontal="center" vertical="center"/>
    </xf>
    <xf numFmtId="0" fontId="8" fillId="0" borderId="1" xfId="0" applyFont="1" applyBorder="1" applyAlignment="1">
      <alignment horizontal="center" vertical="center" wrapText="1"/>
    </xf>
    <xf numFmtId="167" fontId="8" fillId="0" borderId="1" xfId="0" applyNumberFormat="1" applyFont="1" applyBorder="1" applyAlignment="1">
      <alignment horizontal="center" vertical="center" wrapText="1"/>
    </xf>
    <xf numFmtId="0" fontId="9" fillId="0" borderId="0" xfId="0" applyFont="1" applyAlignment="1">
      <alignment horizontal="center" vertical="center" wrapText="1"/>
    </xf>
    <xf numFmtId="0" fontId="9" fillId="0" borderId="9" xfId="0" applyFont="1" applyBorder="1" applyAlignment="1">
      <alignment horizontal="left" vertical="center" wrapText="1"/>
    </xf>
    <xf numFmtId="0" fontId="9" fillId="0" borderId="1" xfId="0" applyFont="1" applyBorder="1" applyAlignment="1">
      <alignment horizontal="center" vertical="center" wrapText="1"/>
    </xf>
    <xf numFmtId="164" fontId="7" fillId="0" borderId="1" xfId="2" applyNumberFormat="1" applyFont="1" applyFill="1" applyBorder="1" applyAlignment="1">
      <alignment horizontal="center" vertical="center" wrapText="1"/>
    </xf>
    <xf numFmtId="10" fontId="9" fillId="0" borderId="1" xfId="0" applyNumberFormat="1" applyFont="1" applyBorder="1" applyAlignment="1">
      <alignment horizontal="center" vertical="center" wrapText="1"/>
    </xf>
    <xf numFmtId="0" fontId="9" fillId="0" borderId="9" xfId="0" applyFont="1" applyBorder="1" applyAlignment="1">
      <alignment vertical="center" wrapText="1"/>
    </xf>
    <xf numFmtId="0" fontId="9" fillId="0" borderId="0" xfId="0" applyFont="1" applyAlignment="1">
      <alignment vertical="center" wrapText="1"/>
    </xf>
    <xf numFmtId="0" fontId="9" fillId="0" borderId="9" xfId="0" applyFont="1" applyFill="1" applyBorder="1" applyAlignment="1">
      <alignment vertical="center" wrapText="1"/>
    </xf>
    <xf numFmtId="0" fontId="9" fillId="0" borderId="10" xfId="0" applyFont="1" applyBorder="1" applyAlignment="1">
      <alignment vertical="center" wrapText="1"/>
    </xf>
    <xf numFmtId="14" fontId="2" fillId="2" borderId="1" xfId="6" applyNumberFormat="1" applyFont="1" applyFill="1" applyBorder="1" applyAlignment="1">
      <alignment horizontal="center" vertical="center" wrapText="1"/>
    </xf>
    <xf numFmtId="0" fontId="2" fillId="0" borderId="0" xfId="2" applyFont="1" applyFill="1" applyAlignment="1">
      <alignment horizontal="center" vertical="center" wrapText="1"/>
    </xf>
    <xf numFmtId="0" fontId="3" fillId="0" borderId="1" xfId="5" applyFont="1" applyFill="1" applyBorder="1" applyAlignment="1">
      <alignment horizontal="left" vertical="center" wrapText="1"/>
    </xf>
    <xf numFmtId="164" fontId="3" fillId="0" borderId="1" xfId="5" applyNumberFormat="1" applyFont="1" applyFill="1" applyBorder="1" applyAlignment="1">
      <alignment horizontal="center" vertical="center" wrapText="1"/>
    </xf>
    <xf numFmtId="0" fontId="3" fillId="0" borderId="1" xfId="5" applyFont="1" applyFill="1" applyBorder="1" applyAlignment="1">
      <alignment horizontal="left" vertical="center"/>
    </xf>
    <xf numFmtId="49" fontId="2" fillId="0" borderId="0" xfId="3" applyNumberFormat="1" applyFont="1" applyFill="1" applyBorder="1" applyAlignment="1">
      <alignment horizontal="center" vertical="center"/>
    </xf>
    <xf numFmtId="167" fontId="2" fillId="0" borderId="1" xfId="3" applyNumberFormat="1" applyFont="1" applyFill="1" applyBorder="1" applyAlignment="1">
      <alignment horizontal="center" vertical="center"/>
    </xf>
    <xf numFmtId="167" fontId="2" fillId="0" borderId="1" xfId="4" applyNumberFormat="1" applyFont="1" applyFill="1" applyBorder="1" applyAlignment="1">
      <alignment horizontal="center" vertical="center"/>
    </xf>
    <xf numFmtId="0" fontId="2" fillId="0" borderId="0" xfId="2" applyFont="1" applyFill="1" applyBorder="1" applyAlignment="1">
      <alignment vertical="center"/>
    </xf>
    <xf numFmtId="167" fontId="2" fillId="0" borderId="0" xfId="2" applyNumberFormat="1" applyFont="1" applyFill="1" applyBorder="1" applyAlignment="1">
      <alignment horizontal="center" vertical="center"/>
    </xf>
    <xf numFmtId="167" fontId="2" fillId="0" borderId="0" xfId="2" applyNumberFormat="1" applyFont="1" applyFill="1" applyBorder="1" applyAlignment="1">
      <alignment horizontal="center" vertical="center" wrapText="1"/>
    </xf>
    <xf numFmtId="10" fontId="3" fillId="0" borderId="0" xfId="2" applyNumberFormat="1" applyFont="1" applyFill="1" applyBorder="1" applyAlignment="1">
      <alignment horizontal="center" vertical="center" wrapText="1"/>
    </xf>
    <xf numFmtId="0" fontId="3" fillId="0" borderId="0" xfId="2" applyFont="1" applyFill="1" applyBorder="1" applyAlignment="1">
      <alignment horizontal="center" vertical="center" wrapText="1"/>
    </xf>
    <xf numFmtId="0" fontId="3" fillId="0" borderId="0" xfId="2" applyFont="1" applyFill="1" applyBorder="1" applyAlignment="1">
      <alignment vertical="center" wrapText="1"/>
    </xf>
    <xf numFmtId="0" fontId="3" fillId="0" borderId="9" xfId="2" applyFont="1" applyFill="1" applyBorder="1" applyAlignment="1">
      <alignment horizontal="center" vertical="center" wrapText="1"/>
    </xf>
    <xf numFmtId="167" fontId="3" fillId="0" borderId="0" xfId="2"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3" fillId="0" borderId="1" xfId="2" applyNumberFormat="1" applyFont="1" applyFill="1" applyBorder="1" applyAlignment="1">
      <alignment horizontal="center" vertical="center" wrapText="1"/>
    </xf>
    <xf numFmtId="0" fontId="3" fillId="0" borderId="1" xfId="5" applyNumberFormat="1" applyFont="1" applyFill="1" applyBorder="1" applyAlignment="1">
      <alignment horizontal="center" vertical="center" wrapText="1"/>
    </xf>
    <xf numFmtId="0" fontId="2" fillId="0" borderId="1" xfId="2" applyNumberFormat="1" applyFont="1" applyFill="1" applyBorder="1" applyAlignment="1">
      <alignment horizontal="center" vertical="center" wrapText="1"/>
    </xf>
    <xf numFmtId="2" fontId="2" fillId="2" borderId="1" xfId="3" applyNumberFormat="1" applyFont="1" applyFill="1" applyBorder="1" applyAlignment="1">
      <alignment horizontal="center" vertical="center" wrapText="1"/>
    </xf>
    <xf numFmtId="2" fontId="3" fillId="0" borderId="0" xfId="2" applyNumberFormat="1" applyFont="1" applyFill="1" applyBorder="1" applyAlignment="1">
      <alignment horizontal="center" vertical="center" wrapText="1"/>
    </xf>
    <xf numFmtId="2" fontId="3" fillId="0" borderId="0" xfId="2" applyNumberFormat="1" applyFont="1" applyFill="1" applyAlignment="1">
      <alignment horizontal="center" vertical="center" wrapText="1"/>
    </xf>
    <xf numFmtId="0" fontId="10" fillId="0" borderId="1" xfId="0" applyFont="1" applyFill="1" applyBorder="1" applyAlignment="1">
      <alignment horizontal="center" vertical="center"/>
    </xf>
    <xf numFmtId="166" fontId="3" fillId="0" borderId="1" xfId="3" applyNumberFormat="1" applyFont="1" applyFill="1" applyBorder="1" applyAlignment="1">
      <alignment horizontal="center" vertical="center"/>
    </xf>
    <xf numFmtId="1" fontId="3" fillId="0" borderId="0" xfId="3" applyNumberFormat="1" applyFont="1" applyFill="1" applyBorder="1" applyAlignment="1">
      <alignment horizontal="center" vertical="center"/>
    </xf>
    <xf numFmtId="167" fontId="3" fillId="0" borderId="0" xfId="3" applyNumberFormat="1" applyFont="1" applyFill="1" applyBorder="1" applyAlignment="1">
      <alignment horizontal="center" vertical="center"/>
    </xf>
    <xf numFmtId="167" fontId="5" fillId="0" borderId="0" xfId="3" applyNumberFormat="1" applyFont="1" applyFill="1" applyBorder="1" applyAlignment="1">
      <alignment horizontal="center"/>
    </xf>
    <xf numFmtId="1" fontId="2" fillId="0" borderId="0" xfId="3" applyNumberFormat="1" applyFont="1" applyFill="1" applyBorder="1" applyAlignment="1">
      <alignment horizontal="center" vertical="center"/>
    </xf>
    <xf numFmtId="0" fontId="3" fillId="0" borderId="0" xfId="3" applyFont="1" applyFill="1" applyBorder="1" applyAlignment="1">
      <alignment horizontal="center" vertical="center"/>
    </xf>
    <xf numFmtId="0" fontId="9" fillId="0" borderId="7"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5" xfId="0" applyFont="1" applyBorder="1" applyAlignment="1">
      <alignment horizontal="center" vertical="center" wrapText="1"/>
    </xf>
    <xf numFmtId="167" fontId="3" fillId="0" borderId="0" xfId="4" applyNumberFormat="1" applyFont="1" applyFill="1" applyAlignment="1">
      <alignment horizontal="center" vertical="center"/>
    </xf>
    <xf numFmtId="0" fontId="3" fillId="0" borderId="1" xfId="6" applyFont="1" applyFill="1" applyBorder="1" applyAlignment="1">
      <alignment horizontal="center" vertical="center"/>
    </xf>
    <xf numFmtId="167" fontId="3" fillId="0" borderId="1" xfId="6" applyNumberFormat="1" applyFont="1" applyFill="1" applyBorder="1" applyAlignment="1">
      <alignment horizontal="center" vertical="center" wrapText="1"/>
    </xf>
    <xf numFmtId="167" fontId="5" fillId="0" borderId="1" xfId="3" applyNumberFormat="1" applyFont="1" applyFill="1" applyBorder="1" applyAlignment="1">
      <alignment horizontal="center"/>
    </xf>
    <xf numFmtId="0" fontId="3" fillId="3" borderId="1" xfId="3" applyFont="1" applyFill="1" applyBorder="1" applyAlignment="1">
      <alignment horizontal="center" vertical="center" wrapText="1"/>
    </xf>
    <xf numFmtId="14" fontId="3" fillId="3" borderId="1" xfId="3" applyNumberFormat="1" applyFont="1" applyFill="1" applyBorder="1" applyAlignment="1">
      <alignment horizontal="center" vertical="center" wrapText="1"/>
    </xf>
    <xf numFmtId="167" fontId="3" fillId="3" borderId="1" xfId="3" applyNumberFormat="1" applyFont="1" applyFill="1" applyBorder="1" applyAlignment="1">
      <alignment horizontal="center" vertical="center" wrapText="1"/>
    </xf>
    <xf numFmtId="167" fontId="3" fillId="3" borderId="1" xfId="3" applyNumberFormat="1" applyFont="1" applyFill="1" applyBorder="1" applyAlignment="1">
      <alignment horizontal="center" vertical="center"/>
    </xf>
    <xf numFmtId="167" fontId="3" fillId="3" borderId="1" xfId="5" applyNumberFormat="1" applyFont="1" applyFill="1" applyBorder="1" applyAlignment="1">
      <alignment horizontal="center" vertical="center" wrapText="1"/>
    </xf>
    <xf numFmtId="167" fontId="3" fillId="3" borderId="1" xfId="4" applyNumberFormat="1" applyFont="1" applyFill="1" applyBorder="1" applyAlignment="1">
      <alignment horizontal="center" vertical="center"/>
    </xf>
    <xf numFmtId="10" fontId="3" fillId="3" borderId="1" xfId="4" applyNumberFormat="1" applyFont="1" applyFill="1" applyBorder="1" applyAlignment="1">
      <alignment horizontal="center" vertical="center"/>
    </xf>
    <xf numFmtId="10" fontId="3" fillId="3" borderId="1" xfId="2" applyNumberFormat="1" applyFont="1" applyFill="1" applyBorder="1" applyAlignment="1">
      <alignment horizontal="center" vertical="center" wrapText="1"/>
    </xf>
    <xf numFmtId="0" fontId="3" fillId="3" borderId="5" xfId="2" applyFont="1" applyFill="1" applyBorder="1" applyAlignment="1">
      <alignment horizontal="center" vertical="center" wrapText="1"/>
    </xf>
    <xf numFmtId="167" fontId="3" fillId="3" borderId="1" xfId="6" applyNumberFormat="1" applyFont="1" applyFill="1" applyBorder="1" applyAlignment="1">
      <alignment horizontal="center" vertical="center"/>
    </xf>
    <xf numFmtId="167" fontId="3" fillId="0" borderId="1" xfId="6" applyNumberFormat="1" applyFont="1" applyFill="1" applyBorder="1" applyAlignment="1">
      <alignment horizontal="center" vertical="center"/>
    </xf>
    <xf numFmtId="14" fontId="3" fillId="0" borderId="1" xfId="4" applyNumberFormat="1" applyFont="1" applyFill="1" applyBorder="1" applyAlignment="1">
      <alignment horizontal="center" vertical="center" wrapText="1"/>
    </xf>
    <xf numFmtId="49" fontId="3" fillId="3" borderId="1" xfId="4" applyNumberFormat="1" applyFont="1" applyFill="1" applyBorder="1" applyAlignment="1">
      <alignment horizontal="center" vertical="center" wrapText="1"/>
    </xf>
    <xf numFmtId="0" fontId="3" fillId="3" borderId="1" xfId="3" applyFont="1" applyFill="1" applyBorder="1" applyAlignment="1">
      <alignment horizontal="center" vertical="center" wrapText="1"/>
    </xf>
    <xf numFmtId="167" fontId="3" fillId="3" borderId="1" xfId="3" applyNumberFormat="1" applyFont="1" applyFill="1" applyBorder="1" applyAlignment="1">
      <alignment horizontal="center" vertical="center"/>
    </xf>
    <xf numFmtId="167" fontId="3" fillId="3" borderId="5" xfId="2" applyNumberFormat="1" applyFont="1" applyFill="1" applyBorder="1" applyAlignment="1">
      <alignment horizontal="center" vertical="center" wrapText="1"/>
    </xf>
    <xf numFmtId="0" fontId="3" fillId="3" borderId="5" xfId="2" applyFont="1" applyFill="1" applyBorder="1" applyAlignment="1">
      <alignment horizontal="center" vertical="center" wrapText="1"/>
    </xf>
    <xf numFmtId="4" fontId="3" fillId="3" borderId="1" xfId="2" applyNumberFormat="1" applyFont="1" applyFill="1" applyBorder="1" applyAlignment="1">
      <alignment horizontal="center" vertical="center" wrapText="1"/>
    </xf>
    <xf numFmtId="0" fontId="3" fillId="3" borderId="1" xfId="4" applyFont="1" applyFill="1" applyBorder="1" applyAlignment="1">
      <alignment vertical="center"/>
    </xf>
    <xf numFmtId="0" fontId="3" fillId="3" borderId="1" xfId="5" applyFont="1" applyFill="1" applyBorder="1" applyAlignment="1">
      <alignment horizontal="left" vertical="center"/>
    </xf>
    <xf numFmtId="164" fontId="3" fillId="3" borderId="1" xfId="5" applyNumberFormat="1" applyFont="1" applyFill="1" applyBorder="1" applyAlignment="1">
      <alignment horizontal="center" vertical="center" wrapText="1"/>
    </xf>
    <xf numFmtId="164" fontId="3" fillId="3" borderId="5" xfId="2" applyNumberFormat="1" applyFont="1" applyFill="1" applyBorder="1" applyAlignment="1">
      <alignment horizontal="center" vertical="center" wrapText="1"/>
    </xf>
    <xf numFmtId="167" fontId="2" fillId="0" borderId="0" xfId="2" applyNumberFormat="1" applyFont="1" applyFill="1" applyBorder="1" applyAlignment="1">
      <alignment vertical="center"/>
    </xf>
    <xf numFmtId="164" fontId="2" fillId="0" borderId="0" xfId="2" applyNumberFormat="1" applyFont="1" applyFill="1" applyBorder="1" applyAlignment="1">
      <alignment horizontal="right" vertical="center" wrapText="1"/>
    </xf>
    <xf numFmtId="164" fontId="2" fillId="0" borderId="2" xfId="2" applyNumberFormat="1" applyFont="1" applyFill="1" applyBorder="1" applyAlignment="1">
      <alignment horizontal="center" vertical="center"/>
    </xf>
    <xf numFmtId="10" fontId="2" fillId="0" borderId="0" xfId="2" applyNumberFormat="1" applyFont="1" applyFill="1" applyBorder="1" applyAlignment="1">
      <alignment horizontal="center" vertical="center"/>
    </xf>
    <xf numFmtId="14" fontId="2" fillId="0" borderId="0" xfId="2" applyNumberFormat="1" applyFont="1" applyFill="1" applyBorder="1" applyAlignment="1">
      <alignment vertical="center"/>
    </xf>
    <xf numFmtId="164" fontId="3" fillId="0" borderId="0" xfId="2" applyNumberFormat="1" applyFont="1" applyFill="1" applyAlignment="1">
      <alignment horizontal="center" vertical="center"/>
    </xf>
    <xf numFmtId="14" fontId="3" fillId="0" borderId="0" xfId="2" applyNumberFormat="1" applyFont="1" applyFill="1" applyAlignment="1">
      <alignment horizontal="center" vertical="center" wrapText="1"/>
    </xf>
    <xf numFmtId="164" fontId="9" fillId="0" borderId="1" xfId="0" applyNumberFormat="1" applyFont="1" applyFill="1" applyBorder="1" applyAlignment="1">
      <alignment horizontal="center" vertical="center" wrapText="1"/>
    </xf>
    <xf numFmtId="0" fontId="9" fillId="0" borderId="0" xfId="0" applyFont="1" applyAlignment="1">
      <alignment horizontal="left" vertical="center" wrapText="1"/>
    </xf>
    <xf numFmtId="0" fontId="9" fillId="0" borderId="7"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10" fontId="9" fillId="0" borderId="1" xfId="0" applyNumberFormat="1" applyFont="1" applyFill="1" applyBorder="1" applyAlignment="1">
      <alignment horizontal="center" vertical="center" wrapText="1"/>
    </xf>
    <xf numFmtId="0" fontId="9" fillId="0" borderId="0" xfId="0" applyFont="1" applyFill="1" applyAlignment="1">
      <alignment vertical="center" wrapText="1"/>
    </xf>
    <xf numFmtId="0" fontId="9" fillId="0" borderId="10" xfId="0" applyFont="1" applyFill="1" applyBorder="1" applyAlignment="1">
      <alignment vertical="center" wrapText="1"/>
    </xf>
    <xf numFmtId="0" fontId="9" fillId="0" borderId="12" xfId="0" applyFont="1" applyFill="1" applyBorder="1" applyAlignment="1">
      <alignment horizontal="center" vertical="center" wrapText="1"/>
    </xf>
    <xf numFmtId="0" fontId="9" fillId="0" borderId="0" xfId="0" applyFont="1" applyFill="1"/>
    <xf numFmtId="0" fontId="9" fillId="0" borderId="7" xfId="0" applyFont="1" applyFill="1" applyBorder="1" applyAlignment="1">
      <alignment vertical="center" wrapText="1"/>
    </xf>
    <xf numFmtId="0" fontId="13" fillId="0" borderId="1" xfId="0" applyFont="1" applyBorder="1" applyAlignment="1">
      <alignment horizontal="center" vertical="center" wrapText="1"/>
    </xf>
    <xf numFmtId="0" fontId="14" fillId="0" borderId="9" xfId="0" applyFont="1" applyFill="1" applyBorder="1" applyAlignment="1">
      <alignment vertical="center" wrapText="1"/>
    </xf>
    <xf numFmtId="0" fontId="14" fillId="0" borderId="9" xfId="0" applyFont="1" applyFill="1" applyBorder="1" applyAlignment="1">
      <alignment horizontal="center" vertical="center" wrapText="1"/>
    </xf>
    <xf numFmtId="0" fontId="16" fillId="0" borderId="0" xfId="2" applyFont="1" applyFill="1" applyBorder="1" applyAlignment="1">
      <alignment horizontal="center" vertical="center" wrapText="1"/>
    </xf>
    <xf numFmtId="0" fontId="15" fillId="0" borderId="0" xfId="2" applyFont="1" applyFill="1" applyBorder="1" applyAlignment="1">
      <alignment horizontal="center" vertical="center" wrapText="1"/>
    </xf>
    <xf numFmtId="14" fontId="3" fillId="3" borderId="5" xfId="2" applyNumberFormat="1" applyFont="1" applyFill="1" applyBorder="1" applyAlignment="1">
      <alignment horizontal="center" vertical="center" wrapText="1"/>
    </xf>
    <xf numFmtId="14" fontId="3" fillId="0" borderId="0" xfId="2" applyNumberFormat="1" applyFont="1" applyFill="1" applyBorder="1" applyAlignment="1">
      <alignment horizontal="center" vertical="center" wrapText="1"/>
    </xf>
    <xf numFmtId="0" fontId="3" fillId="3" borderId="5" xfId="2" applyFont="1" applyFill="1" applyBorder="1" applyAlignment="1">
      <alignment horizontal="center" vertical="center" wrapText="1"/>
    </xf>
    <xf numFmtId="49" fontId="3" fillId="0" borderId="1" xfId="2" applyNumberFormat="1" applyFont="1" applyFill="1" applyBorder="1" applyAlignment="1">
      <alignment vertical="center" wrapText="1"/>
    </xf>
    <xf numFmtId="0" fontId="0" fillId="0" borderId="0" xfId="0" applyAlignment="1">
      <alignment wrapText="1"/>
    </xf>
    <xf numFmtId="0" fontId="0" fillId="0" borderId="0" xfId="0"/>
    <xf numFmtId="0" fontId="3" fillId="0" borderId="1" xfId="2" applyFont="1" applyFill="1" applyBorder="1" applyAlignment="1">
      <alignment horizontal="center" vertical="center"/>
    </xf>
    <xf numFmtId="0" fontId="3" fillId="0" borderId="1" xfId="2" applyFont="1" applyFill="1" applyBorder="1" applyAlignment="1">
      <alignment vertical="center" wrapText="1"/>
    </xf>
    <xf numFmtId="0" fontId="3" fillId="0" borderId="1" xfId="2" applyFont="1" applyFill="1" applyBorder="1" applyAlignment="1">
      <alignment horizontal="center" vertical="center" wrapText="1"/>
    </xf>
    <xf numFmtId="167" fontId="3" fillId="0" borderId="1" xfId="2" applyNumberFormat="1" applyFont="1" applyFill="1" applyBorder="1" applyAlignment="1">
      <alignment horizontal="center" vertical="center" wrapText="1"/>
    </xf>
    <xf numFmtId="49" fontId="0" fillId="0" borderId="0" xfId="0" applyNumberFormat="1" applyAlignment="1">
      <alignment wrapText="1"/>
    </xf>
    <xf numFmtId="167" fontId="8" fillId="0" borderId="1" xfId="0" applyNumberFormat="1" applyFont="1" applyFill="1" applyBorder="1" applyAlignment="1">
      <alignment horizontal="center" vertical="center" wrapText="1"/>
    </xf>
    <xf numFmtId="0" fontId="9" fillId="0" borderId="0" xfId="0" applyFont="1" applyFill="1" applyAlignment="1">
      <alignment horizontal="center" vertical="center" wrapText="1"/>
    </xf>
    <xf numFmtId="0" fontId="14" fillId="0" borderId="0" xfId="0" applyFont="1" applyFill="1" applyAlignment="1">
      <alignment vertical="center" wrapText="1"/>
    </xf>
    <xf numFmtId="0" fontId="14" fillId="0" borderId="0" xfId="0" applyFont="1" applyFill="1" applyAlignment="1">
      <alignment horizontal="center" vertical="center" wrapText="1"/>
    </xf>
    <xf numFmtId="0" fontId="9" fillId="0" borderId="0" xfId="0" applyFont="1" applyFill="1" applyBorder="1"/>
    <xf numFmtId="0" fontId="14" fillId="0" borderId="0" xfId="0" applyFont="1" applyFill="1" applyBorder="1"/>
    <xf numFmtId="164" fontId="9" fillId="0" borderId="0" xfId="0" applyNumberFormat="1" applyFont="1" applyFill="1" applyAlignment="1">
      <alignment horizontal="center" vertical="center" wrapText="1"/>
    </xf>
    <xf numFmtId="0" fontId="8" fillId="0" borderId="0" xfId="0" applyFont="1" applyFill="1" applyBorder="1" applyAlignment="1">
      <alignment horizontal="center" vertical="center" wrapText="1"/>
    </xf>
    <xf numFmtId="0" fontId="14" fillId="0" borderId="0" xfId="0" applyFont="1" applyFill="1"/>
    <xf numFmtId="167" fontId="3" fillId="0" borderId="0" xfId="5" applyNumberFormat="1" applyFont="1" applyFill="1" applyAlignment="1">
      <alignment horizontal="center" vertical="center" wrapText="1"/>
    </xf>
    <xf numFmtId="49" fontId="3" fillId="5" borderId="0" xfId="3" applyNumberFormat="1" applyFont="1" applyFill="1" applyAlignment="1">
      <alignment horizontal="center" vertical="center"/>
    </xf>
    <xf numFmtId="0" fontId="0" fillId="5" borderId="0" xfId="0" applyFill="1"/>
    <xf numFmtId="167" fontId="3" fillId="5" borderId="0" xfId="3" applyNumberFormat="1" applyFont="1" applyFill="1" applyAlignment="1">
      <alignment horizontal="center" vertical="center"/>
    </xf>
    <xf numFmtId="167" fontId="2" fillId="5" borderId="0" xfId="3" applyNumberFormat="1" applyFont="1" applyFill="1" applyAlignment="1">
      <alignment horizontal="center" vertical="center"/>
    </xf>
    <xf numFmtId="169" fontId="3" fillId="0" borderId="0" xfId="4" applyNumberFormat="1" applyFont="1" applyFill="1" applyAlignment="1">
      <alignment vertical="center"/>
    </xf>
    <xf numFmtId="169" fontId="3" fillId="0" borderId="0" xfId="4" applyNumberFormat="1" applyFont="1" applyFill="1" applyAlignment="1">
      <alignment horizontal="center" vertical="center"/>
    </xf>
    <xf numFmtId="169" fontId="2" fillId="0" borderId="0" xfId="2" applyNumberFormat="1" applyFont="1" applyFill="1" applyAlignment="1">
      <alignment horizontal="center" vertical="center" wrapText="1"/>
    </xf>
    <xf numFmtId="0" fontId="9" fillId="0" borderId="0" xfId="0" applyFont="1" applyFill="1" applyBorder="1" applyAlignment="1">
      <alignment horizontal="center" vertical="center" wrapText="1"/>
    </xf>
    <xf numFmtId="49" fontId="17" fillId="0" borderId="1" xfId="0" applyNumberFormat="1" applyFont="1" applyBorder="1" applyAlignment="1">
      <alignment wrapText="1"/>
    </xf>
    <xf numFmtId="0" fontId="3" fillId="0" borderId="1" xfId="2" applyFont="1" applyFill="1" applyBorder="1" applyAlignment="1">
      <alignment horizontal="center" vertical="center" wrapText="1"/>
    </xf>
    <xf numFmtId="164" fontId="9" fillId="0" borderId="1" xfId="0" applyNumberFormat="1" applyFont="1" applyFill="1" applyBorder="1" applyAlignment="1">
      <alignment horizontal="center" vertical="center" wrapText="1"/>
    </xf>
    <xf numFmtId="164" fontId="9" fillId="0" borderId="1" xfId="0" applyNumberFormat="1" applyFont="1" applyFill="1" applyBorder="1" applyAlignment="1">
      <alignment horizontal="center" vertical="center" wrapText="1"/>
    </xf>
    <xf numFmtId="7" fontId="3" fillId="0" borderId="0" xfId="2" applyNumberFormat="1" applyFont="1" applyFill="1" applyAlignment="1">
      <alignment horizontal="center" vertical="center"/>
    </xf>
    <xf numFmtId="0" fontId="10" fillId="0" borderId="1" xfId="0" applyFont="1" applyFill="1" applyBorder="1" applyAlignment="1">
      <alignment vertical="center" wrapText="1"/>
    </xf>
    <xf numFmtId="166" fontId="10" fillId="0" borderId="1" xfId="0" applyNumberFormat="1" applyFont="1" applyFill="1" applyBorder="1" applyAlignment="1">
      <alignment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166" fontId="10" fillId="0" borderId="1" xfId="0" applyNumberFormat="1" applyFont="1" applyBorder="1" applyAlignment="1">
      <alignment vertical="center" wrapText="1"/>
    </xf>
    <xf numFmtId="49" fontId="2" fillId="2" borderId="1" xfId="3" applyNumberFormat="1" applyFont="1" applyFill="1" applyBorder="1" applyAlignment="1">
      <alignment horizontal="center" vertical="center" wrapText="1"/>
    </xf>
    <xf numFmtId="1" fontId="2" fillId="2" borderId="1" xfId="3" applyNumberFormat="1" applyFont="1" applyFill="1" applyBorder="1" applyAlignment="1">
      <alignment horizontal="center" vertical="center" wrapText="1"/>
    </xf>
    <xf numFmtId="14" fontId="10" fillId="0" borderId="1" xfId="0" applyNumberFormat="1" applyFont="1" applyFill="1" applyBorder="1" applyAlignment="1">
      <alignment horizontal="center" vertical="center" wrapText="1"/>
    </xf>
    <xf numFmtId="14" fontId="2" fillId="0" borderId="1" xfId="3" applyNumberFormat="1" applyFont="1" applyFill="1" applyBorder="1" applyAlignment="1">
      <alignment horizontal="center" vertical="center" wrapText="1"/>
    </xf>
    <xf numFmtId="1" fontId="10" fillId="0" borderId="1" xfId="0" applyNumberFormat="1" applyFont="1" applyFill="1" applyBorder="1" applyAlignment="1">
      <alignment horizontal="center" vertical="center" wrapText="1"/>
    </xf>
    <xf numFmtId="1" fontId="2" fillId="0" borderId="1" xfId="3" applyNumberFormat="1" applyFont="1" applyFill="1" applyBorder="1" applyAlignment="1">
      <alignment horizontal="center" vertical="center" wrapText="1"/>
    </xf>
    <xf numFmtId="170" fontId="10" fillId="0" borderId="1" xfId="0" applyNumberFormat="1" applyFont="1" applyFill="1" applyBorder="1" applyAlignment="1">
      <alignment horizontal="center" vertical="center" wrapText="1"/>
    </xf>
    <xf numFmtId="0" fontId="0" fillId="0" borderId="1" xfId="0" applyBorder="1" applyAlignment="1">
      <alignment wrapText="1"/>
    </xf>
    <xf numFmtId="14" fontId="10" fillId="0" borderId="1" xfId="0" applyNumberFormat="1" applyFont="1" applyBorder="1" applyAlignment="1">
      <alignment horizontal="center" vertical="center" wrapText="1"/>
    </xf>
    <xf numFmtId="165" fontId="10" fillId="0" borderId="1" xfId="0" applyNumberFormat="1" applyFont="1" applyFill="1" applyBorder="1" applyAlignment="1">
      <alignment horizontal="center" vertical="center" wrapText="1"/>
    </xf>
    <xf numFmtId="1" fontId="0" fillId="0" borderId="1" xfId="0" applyNumberFormat="1" applyBorder="1" applyAlignment="1">
      <alignment wrapText="1"/>
    </xf>
    <xf numFmtId="14" fontId="10" fillId="0" borderId="1" xfId="0" applyNumberFormat="1" applyFont="1" applyFill="1" applyBorder="1" applyAlignment="1">
      <alignment vertical="center" wrapText="1"/>
    </xf>
    <xf numFmtId="49" fontId="10" fillId="0" borderId="1" xfId="0" applyNumberFormat="1" applyFont="1" applyBorder="1" applyAlignment="1">
      <alignment horizontal="center" vertical="center" wrapText="1"/>
    </xf>
    <xf numFmtId="1" fontId="0" fillId="0" borderId="0" xfId="0" applyNumberFormat="1" applyAlignment="1">
      <alignment wrapText="1"/>
    </xf>
    <xf numFmtId="0" fontId="3" fillId="0" borderId="1" xfId="2" applyFont="1" applyFill="1" applyBorder="1" applyAlignment="1">
      <alignment horizontal="center" vertical="center" wrapText="1"/>
    </xf>
    <xf numFmtId="167" fontId="3" fillId="0" borderId="1" xfId="2"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167" fontId="8" fillId="0" borderId="2" xfId="0" applyNumberFormat="1" applyFont="1" applyFill="1" applyBorder="1" applyAlignment="1">
      <alignment horizontal="center" vertical="center" wrapText="1"/>
    </xf>
    <xf numFmtId="0" fontId="10" fillId="0" borderId="0" xfId="0" applyFont="1" applyFill="1"/>
    <xf numFmtId="0" fontId="2" fillId="4" borderId="1" xfId="2" applyFont="1" applyFill="1" applyBorder="1" applyAlignment="1">
      <alignment horizontal="center" vertical="center"/>
    </xf>
    <xf numFmtId="0" fontId="2" fillId="4" borderId="1" xfId="2" applyFont="1" applyFill="1" applyBorder="1" applyAlignment="1">
      <alignment horizontal="center" vertical="center" wrapText="1"/>
    </xf>
    <xf numFmtId="164" fontId="2" fillId="4" borderId="1" xfId="2" applyNumberFormat="1" applyFont="1" applyFill="1" applyBorder="1" applyAlignment="1">
      <alignment horizontal="center" vertical="center" wrapText="1"/>
    </xf>
    <xf numFmtId="167" fontId="18" fillId="0" borderId="1" xfId="0" applyNumberFormat="1" applyFont="1" applyFill="1" applyBorder="1" applyAlignment="1">
      <alignment horizontal="center"/>
    </xf>
    <xf numFmtId="0" fontId="10" fillId="0" borderId="0" xfId="0" applyFont="1" applyFill="1" applyAlignment="1">
      <alignment horizontal="center"/>
    </xf>
    <xf numFmtId="0" fontId="10" fillId="0" borderId="1" xfId="0" applyFont="1" applyBorder="1" applyAlignment="1">
      <alignment horizontal="center" vertical="center"/>
    </xf>
    <xf numFmtId="0" fontId="8" fillId="0" borderId="2" xfId="0" applyFont="1" applyFill="1" applyBorder="1" applyAlignment="1">
      <alignment horizontal="right" vertical="center" wrapText="1"/>
    </xf>
    <xf numFmtId="49" fontId="10" fillId="0" borderId="1" xfId="0" applyNumberFormat="1" applyFont="1" applyFill="1" applyBorder="1" applyAlignment="1">
      <alignment horizontal="center" vertical="center" wrapText="1"/>
    </xf>
    <xf numFmtId="0" fontId="3" fillId="0" borderId="1" xfId="2" applyFont="1" applyFill="1" applyBorder="1" applyAlignment="1">
      <alignment horizontal="center" vertical="center" wrapText="1"/>
    </xf>
    <xf numFmtId="167" fontId="3" fillId="0" borderId="1" xfId="2"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167" fontId="10" fillId="0" borderId="1" xfId="0" applyNumberFormat="1" applyFont="1" applyFill="1" applyBorder="1" applyAlignment="1">
      <alignment horizontal="center" vertical="center" wrapText="1"/>
    </xf>
    <xf numFmtId="0" fontId="10" fillId="5" borderId="1" xfId="0" applyFont="1" applyFill="1" applyBorder="1" applyAlignment="1">
      <alignment horizontal="center" vertical="center" wrapText="1"/>
    </xf>
    <xf numFmtId="167" fontId="3" fillId="5" borderId="1" xfId="2" applyNumberFormat="1" applyFont="1" applyFill="1" applyBorder="1" applyAlignment="1">
      <alignment horizontal="center" vertical="center" wrapText="1"/>
    </xf>
    <xf numFmtId="165" fontId="10" fillId="0" borderId="1" xfId="0" applyNumberFormat="1" applyFont="1" applyBorder="1" applyAlignment="1">
      <alignment horizontal="center" vertical="center" wrapText="1"/>
    </xf>
    <xf numFmtId="164" fontId="10" fillId="0" borderId="1" xfId="0" applyNumberFormat="1" applyFont="1" applyFill="1" applyBorder="1" applyAlignment="1">
      <alignment horizontal="center" vertical="center" wrapText="1"/>
    </xf>
    <xf numFmtId="167" fontId="3" fillId="0" borderId="1" xfId="2"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167" fontId="3" fillId="0" borderId="1" xfId="2" applyNumberFormat="1" applyFont="1" applyFill="1" applyBorder="1" applyAlignment="1">
      <alignment horizontal="center" vertical="center" wrapText="1"/>
    </xf>
    <xf numFmtId="0" fontId="3" fillId="0" borderId="1" xfId="2" applyFont="1" applyFill="1" applyBorder="1" applyAlignment="1">
      <alignment horizontal="center" vertical="center" wrapText="1"/>
    </xf>
    <xf numFmtId="167" fontId="18" fillId="0" borderId="2" xfId="0" applyNumberFormat="1" applyFont="1" applyFill="1" applyBorder="1" applyAlignment="1">
      <alignment horizontal="center"/>
    </xf>
    <xf numFmtId="0" fontId="10" fillId="0" borderId="1" xfId="0" applyFont="1" applyFill="1" applyBorder="1"/>
    <xf numFmtId="169" fontId="10" fillId="0" borderId="0" xfId="0" applyNumberFormat="1" applyFont="1" applyFill="1"/>
    <xf numFmtId="169" fontId="2" fillId="2" borderId="1" xfId="3" applyNumberFormat="1" applyFont="1" applyFill="1" applyBorder="1" applyAlignment="1">
      <alignment horizontal="center" vertical="center" wrapText="1"/>
    </xf>
    <xf numFmtId="169" fontId="10" fillId="0" borderId="1" xfId="0" applyNumberFormat="1" applyFont="1" applyFill="1" applyBorder="1"/>
    <xf numFmtId="49" fontId="10" fillId="0" borderId="0" xfId="0" applyNumberFormat="1" applyFont="1" applyFill="1" applyAlignment="1">
      <alignment wrapText="1"/>
    </xf>
    <xf numFmtId="49" fontId="10" fillId="0" borderId="1" xfId="0" applyNumberFormat="1" applyFont="1" applyFill="1" applyBorder="1" applyAlignment="1">
      <alignment wrapText="1"/>
    </xf>
    <xf numFmtId="165" fontId="10"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14" fontId="10" fillId="0" borderId="2" xfId="0" applyNumberFormat="1" applyFont="1" applyFill="1" applyBorder="1" applyAlignment="1">
      <alignment horizontal="center" vertical="center" wrapText="1"/>
    </xf>
    <xf numFmtId="14" fontId="10" fillId="0" borderId="2" xfId="0" applyNumberFormat="1" applyFont="1" applyBorder="1" applyAlignment="1">
      <alignment horizontal="center" vertical="center" wrapText="1"/>
    </xf>
    <xf numFmtId="0" fontId="0" fillId="0" borderId="1" xfId="0" applyBorder="1" applyAlignment="1">
      <alignment horizontal="center" wrapText="1"/>
    </xf>
    <xf numFmtId="1" fontId="10" fillId="0" borderId="2" xfId="0" applyNumberFormat="1" applyFont="1" applyFill="1" applyBorder="1" applyAlignment="1">
      <alignment horizontal="center" vertical="center" wrapText="1"/>
    </xf>
    <xf numFmtId="14" fontId="3" fillId="0" borderId="2" xfId="3"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3" fillId="0" borderId="1" xfId="2" applyFont="1" applyFill="1" applyBorder="1" applyAlignment="1">
      <alignment horizontal="center" vertical="center" wrapText="1"/>
    </xf>
    <xf numFmtId="167" fontId="3" fillId="0" borderId="1" xfId="2"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167" fontId="10" fillId="0" borderId="1" xfId="0" applyNumberFormat="1" applyFont="1" applyFill="1" applyBorder="1" applyAlignment="1">
      <alignment horizontal="center" vertical="center" wrapText="1"/>
    </xf>
    <xf numFmtId="167" fontId="3" fillId="5" borderId="1" xfId="5" applyNumberFormat="1" applyFont="1" applyFill="1" applyBorder="1" applyAlignment="1">
      <alignment horizontal="center" vertical="center" wrapText="1"/>
    </xf>
    <xf numFmtId="167" fontId="10" fillId="0" borderId="5" xfId="0" applyNumberFormat="1" applyFont="1" applyFill="1" applyBorder="1" applyAlignment="1">
      <alignment vertical="center" wrapText="1"/>
    </xf>
    <xf numFmtId="14" fontId="10" fillId="0" borderId="1" xfId="0" applyNumberFormat="1" applyFont="1" applyFill="1" applyBorder="1" applyAlignment="1">
      <alignment horizontal="center" vertical="center"/>
    </xf>
    <xf numFmtId="0" fontId="10" fillId="0" borderId="1" xfId="0" applyFont="1" applyBorder="1" applyAlignment="1">
      <alignment wrapText="1"/>
    </xf>
    <xf numFmtId="0" fontId="10" fillId="0" borderId="2" xfId="0" applyFont="1" applyFill="1" applyBorder="1" applyAlignment="1">
      <alignment vertical="center" wrapText="1"/>
    </xf>
    <xf numFmtId="14" fontId="10" fillId="0" borderId="1" xfId="0" applyNumberFormat="1" applyFont="1" applyFill="1" applyBorder="1" applyAlignment="1">
      <alignment wrapText="1"/>
    </xf>
    <xf numFmtId="0" fontId="0" fillId="0" borderId="1" xfId="0" applyFill="1" applyBorder="1" applyAlignment="1">
      <alignment wrapText="1"/>
    </xf>
    <xf numFmtId="14" fontId="10" fillId="0" borderId="1" xfId="0" applyNumberFormat="1" applyFont="1" applyBorder="1" applyAlignment="1">
      <alignment wrapText="1"/>
    </xf>
    <xf numFmtId="14" fontId="10" fillId="0" borderId="1" xfId="0" applyNumberFormat="1" applyFont="1" applyBorder="1" applyAlignment="1">
      <alignment vertical="center" wrapText="1"/>
    </xf>
    <xf numFmtId="1" fontId="10" fillId="0" borderId="1" xfId="0" applyNumberFormat="1" applyFont="1" applyFill="1" applyBorder="1" applyAlignment="1">
      <alignment vertical="center" wrapText="1"/>
    </xf>
    <xf numFmtId="165" fontId="10" fillId="0" borderId="1" xfId="0" applyNumberFormat="1" applyFont="1" applyBorder="1" applyAlignment="1">
      <alignment vertical="center" wrapText="1"/>
    </xf>
    <xf numFmtId="14" fontId="3" fillId="0" borderId="1" xfId="3" applyNumberFormat="1" applyFont="1" applyFill="1" applyBorder="1" applyAlignment="1">
      <alignment vertical="center" wrapText="1"/>
    </xf>
    <xf numFmtId="49" fontId="2" fillId="2" borderId="5" xfId="3" applyNumberFormat="1" applyFont="1" applyFill="1" applyBorder="1" applyAlignment="1">
      <alignment horizontal="center" vertical="center" wrapText="1"/>
    </xf>
    <xf numFmtId="14" fontId="2" fillId="2" borderId="5" xfId="3" applyNumberFormat="1" applyFont="1" applyFill="1" applyBorder="1" applyAlignment="1">
      <alignment horizontal="center" vertical="center" wrapText="1"/>
    </xf>
    <xf numFmtId="2" fontId="2" fillId="2" borderId="5" xfId="3" applyNumberFormat="1" applyFont="1" applyFill="1" applyBorder="1" applyAlignment="1">
      <alignment horizontal="center" vertical="center" wrapText="1"/>
    </xf>
    <xf numFmtId="1" fontId="2" fillId="2" borderId="5" xfId="3" applyNumberFormat="1" applyFont="1" applyFill="1" applyBorder="1" applyAlignment="1">
      <alignment horizontal="center" vertical="center" wrapText="1"/>
    </xf>
    <xf numFmtId="0" fontId="2" fillId="2" borderId="5" xfId="2" applyFont="1" applyFill="1" applyBorder="1" applyAlignment="1">
      <alignment horizontal="center" vertical="center" wrapText="1"/>
    </xf>
    <xf numFmtId="165" fontId="10" fillId="0" borderId="1" xfId="0" applyNumberFormat="1" applyFont="1" applyFill="1" applyBorder="1" applyAlignment="1">
      <alignment vertical="center"/>
    </xf>
    <xf numFmtId="0" fontId="10" fillId="0" borderId="1" xfId="0" applyFont="1" applyFill="1" applyBorder="1" applyAlignment="1">
      <alignment vertical="center"/>
    </xf>
    <xf numFmtId="14" fontId="10" fillId="0" borderId="1" xfId="0" applyNumberFormat="1" applyFont="1" applyFill="1" applyBorder="1" applyAlignment="1">
      <alignment vertical="center"/>
    </xf>
    <xf numFmtId="0" fontId="10" fillId="6" borderId="1" xfId="0" applyFont="1" applyFill="1" applyBorder="1" applyAlignment="1">
      <alignment horizontal="center" vertical="center" wrapText="1"/>
    </xf>
    <xf numFmtId="0" fontId="3" fillId="6" borderId="1" xfId="2" applyFont="1" applyFill="1" applyBorder="1" applyAlignment="1">
      <alignment vertical="center" wrapText="1"/>
    </xf>
    <xf numFmtId="167" fontId="3" fillId="6" borderId="1" xfId="2" applyNumberFormat="1" applyFont="1" applyFill="1" applyBorder="1" applyAlignment="1">
      <alignment horizontal="center" vertical="center" wrapText="1"/>
    </xf>
    <xf numFmtId="0" fontId="10" fillId="6" borderId="1" xfId="0" applyFont="1" applyFill="1" applyBorder="1" applyAlignment="1">
      <alignment vertical="center" wrapText="1"/>
    </xf>
    <xf numFmtId="0" fontId="2" fillId="0" borderId="0" xfId="2" applyFont="1" applyFill="1" applyBorder="1" applyAlignment="1">
      <alignment horizontal="center" vertical="center" wrapText="1"/>
    </xf>
    <xf numFmtId="0" fontId="0" fillId="0" borderId="0" xfId="0" applyFill="1" applyBorder="1" applyAlignment="1">
      <alignment wrapText="1"/>
    </xf>
    <xf numFmtId="0" fontId="0" fillId="0" borderId="0" xfId="0" applyBorder="1" applyAlignment="1">
      <alignment wrapText="1"/>
    </xf>
    <xf numFmtId="169" fontId="10" fillId="0" borderId="1" xfId="0" applyNumberFormat="1" applyFont="1" applyFill="1" applyBorder="1" applyAlignment="1">
      <alignment horizontal="center" vertical="center" wrapText="1"/>
    </xf>
    <xf numFmtId="165" fontId="10" fillId="0" borderId="1" xfId="0" applyNumberFormat="1" applyFont="1" applyBorder="1" applyAlignment="1">
      <alignment horizontal="center" vertical="center"/>
    </xf>
    <xf numFmtId="14" fontId="10" fillId="0" borderId="1" xfId="0" applyNumberFormat="1" applyFont="1" applyBorder="1" applyAlignment="1">
      <alignment horizontal="center" vertical="center"/>
    </xf>
    <xf numFmtId="165" fontId="10" fillId="0" borderId="1" xfId="0" applyNumberFormat="1" applyFont="1" applyFill="1" applyBorder="1" applyAlignment="1">
      <alignment horizontal="center" vertical="center"/>
    </xf>
    <xf numFmtId="1" fontId="10" fillId="0" borderId="1" xfId="0" applyNumberFormat="1" applyFont="1" applyBorder="1" applyAlignment="1">
      <alignment wrapText="1"/>
    </xf>
    <xf numFmtId="169" fontId="18" fillId="0" borderId="1" xfId="0" applyNumberFormat="1" applyFont="1" applyFill="1" applyBorder="1" applyAlignment="1">
      <alignment vertical="center" wrapText="1"/>
    </xf>
    <xf numFmtId="167" fontId="10" fillId="5" borderId="1" xfId="0" applyNumberFormat="1" applyFont="1" applyFill="1" applyBorder="1" applyAlignment="1">
      <alignment horizontal="center" vertical="center" wrapText="1"/>
    </xf>
    <xf numFmtId="0" fontId="3" fillId="5" borderId="1" xfId="2" applyFont="1" applyFill="1" applyBorder="1" applyAlignment="1">
      <alignment horizontal="center" vertical="center" wrapText="1"/>
    </xf>
    <xf numFmtId="0" fontId="3" fillId="5" borderId="1" xfId="2" applyFont="1" applyFill="1" applyBorder="1" applyAlignment="1">
      <alignment vertical="center" wrapText="1"/>
    </xf>
    <xf numFmtId="0" fontId="10" fillId="5" borderId="1" xfId="0" applyFont="1" applyFill="1" applyBorder="1" applyAlignment="1">
      <alignment vertical="center" wrapText="1"/>
    </xf>
    <xf numFmtId="0" fontId="3" fillId="0" borderId="1" xfId="2" applyFont="1" applyFill="1" applyBorder="1" applyAlignment="1">
      <alignment horizontal="center" vertical="center" wrapText="1"/>
    </xf>
    <xf numFmtId="167" fontId="3" fillId="0" borderId="1" xfId="2" applyNumberFormat="1" applyFont="1" applyFill="1" applyBorder="1" applyAlignment="1">
      <alignment horizontal="center" vertical="center" wrapText="1"/>
    </xf>
    <xf numFmtId="164" fontId="10" fillId="5" borderId="1" xfId="0" applyNumberFormat="1" applyFont="1" applyFill="1" applyBorder="1" applyAlignment="1">
      <alignment horizontal="center" vertical="center" wrapText="1"/>
    </xf>
    <xf numFmtId="0" fontId="3" fillId="5" borderId="5" xfId="2" applyFont="1" applyFill="1" applyBorder="1" applyAlignment="1">
      <alignment vertical="center" wrapText="1"/>
    </xf>
    <xf numFmtId="164" fontId="10" fillId="6" borderId="1" xfId="0" applyNumberFormat="1" applyFont="1" applyFill="1" applyBorder="1" applyAlignment="1">
      <alignment horizontal="center" vertical="center" wrapText="1"/>
    </xf>
    <xf numFmtId="49" fontId="10" fillId="5" borderId="1" xfId="0" applyNumberFormat="1" applyFont="1" applyFill="1" applyBorder="1" applyAlignment="1">
      <alignment horizontal="center" vertical="center" wrapText="1"/>
    </xf>
    <xf numFmtId="14" fontId="10" fillId="0" borderId="1" xfId="0" applyNumberFormat="1" applyFont="1" applyFill="1" applyBorder="1"/>
    <xf numFmtId="0" fontId="3" fillId="0" borderId="1" xfId="2" applyFont="1" applyFill="1" applyBorder="1" applyAlignment="1">
      <alignment horizontal="center" vertical="center" wrapText="1"/>
    </xf>
    <xf numFmtId="0" fontId="3" fillId="0" borderId="1" xfId="2" applyFont="1" applyFill="1" applyBorder="1" applyAlignment="1">
      <alignment horizontal="center" vertical="center" wrapText="1"/>
    </xf>
    <xf numFmtId="0" fontId="10" fillId="0" borderId="0" xfId="0" applyFont="1"/>
    <xf numFmtId="0" fontId="2" fillId="4" borderId="5" xfId="2" applyFont="1" applyFill="1" applyBorder="1" applyAlignment="1">
      <alignment horizontal="center" vertical="center" wrapText="1"/>
    </xf>
    <xf numFmtId="164" fontId="2" fillId="4" borderId="5" xfId="2" applyNumberFormat="1" applyFont="1" applyFill="1" applyBorder="1" applyAlignment="1">
      <alignment horizontal="center" vertical="center" wrapText="1"/>
    </xf>
    <xf numFmtId="0" fontId="10" fillId="0" borderId="0" xfId="0" applyFont="1" applyAlignment="1">
      <alignment vertical="center" wrapText="1"/>
    </xf>
    <xf numFmtId="0" fontId="10" fillId="0" borderId="5" xfId="0" applyFont="1" applyBorder="1" applyAlignment="1">
      <alignment horizontal="left" vertical="center" wrapText="1"/>
    </xf>
    <xf numFmtId="169" fontId="18" fillId="0" borderId="1" xfId="0" applyNumberFormat="1" applyFont="1" applyBorder="1" applyAlignment="1">
      <alignment horizontal="center"/>
    </xf>
    <xf numFmtId="0" fontId="0" fillId="0" borderId="0" xfId="0" applyAlignment="1">
      <alignment horizontal="center"/>
    </xf>
    <xf numFmtId="0" fontId="3" fillId="0" borderId="1" xfId="2" applyFont="1" applyFill="1" applyBorder="1" applyAlignment="1">
      <alignment horizontal="center" vertical="center" wrapText="1"/>
    </xf>
    <xf numFmtId="0" fontId="10" fillId="0" borderId="1" xfId="0" applyFont="1" applyFill="1" applyBorder="1" applyAlignment="1">
      <alignment horizontal="left" vertical="center" wrapText="1"/>
    </xf>
    <xf numFmtId="169" fontId="10" fillId="0" borderId="1" xfId="0" applyNumberFormat="1" applyFont="1" applyFill="1" applyBorder="1" applyAlignment="1">
      <alignment horizontal="center"/>
    </xf>
    <xf numFmtId="10" fontId="10" fillId="0" borderId="1" xfId="0" applyNumberFormat="1" applyFont="1" applyFill="1" applyBorder="1"/>
    <xf numFmtId="0" fontId="10" fillId="0" borderId="1" xfId="0" applyFont="1" applyFill="1" applyBorder="1" applyAlignment="1">
      <alignment wrapText="1"/>
    </xf>
    <xf numFmtId="0" fontId="10" fillId="0" borderId="0" xfId="0" applyFont="1" applyAlignment="1">
      <alignment wrapText="1"/>
    </xf>
    <xf numFmtId="169" fontId="10" fillId="5" borderId="1" xfId="0" applyNumberFormat="1" applyFont="1" applyFill="1" applyBorder="1" applyAlignment="1">
      <alignment horizontal="center"/>
    </xf>
    <xf numFmtId="0" fontId="3" fillId="0" borderId="1" xfId="2" applyFont="1" applyFill="1" applyBorder="1" applyAlignment="1">
      <alignment horizontal="center" vertical="center" wrapText="1"/>
    </xf>
    <xf numFmtId="14" fontId="10" fillId="0" borderId="0" xfId="0" applyNumberFormat="1" applyFont="1" applyFill="1"/>
    <xf numFmtId="0" fontId="10" fillId="0" borderId="0" xfId="0" applyFont="1" applyFill="1" applyAlignment="1">
      <alignment wrapText="1"/>
    </xf>
    <xf numFmtId="0" fontId="10" fillId="5" borderId="1" xfId="0" applyFont="1" applyFill="1" applyBorder="1" applyAlignment="1">
      <alignment wrapText="1"/>
    </xf>
    <xf numFmtId="169" fontId="10" fillId="5" borderId="1" xfId="0" applyNumberFormat="1" applyFont="1" applyFill="1" applyBorder="1"/>
    <xf numFmtId="1" fontId="10" fillId="0" borderId="1" xfId="0" applyNumberFormat="1" applyFont="1" applyBorder="1" applyAlignment="1">
      <alignment horizontal="center" vertical="center" wrapText="1"/>
    </xf>
    <xf numFmtId="49" fontId="3" fillId="5" borderId="1" xfId="4" applyNumberFormat="1" applyFont="1" applyFill="1" applyBorder="1" applyAlignment="1">
      <alignment horizontal="center" vertical="center" wrapText="1"/>
    </xf>
    <xf numFmtId="169" fontId="10" fillId="0" borderId="1" xfId="0" applyNumberFormat="1" applyFont="1" applyFill="1" applyBorder="1" applyAlignment="1">
      <alignment horizontal="center" vertical="center"/>
    </xf>
    <xf numFmtId="10" fontId="10" fillId="0" borderId="1" xfId="0" applyNumberFormat="1" applyFont="1" applyFill="1" applyBorder="1" applyAlignment="1">
      <alignment horizontal="center" vertical="center" wrapText="1"/>
    </xf>
    <xf numFmtId="0" fontId="10" fillId="5" borderId="1" xfId="0" applyFont="1" applyFill="1" applyBorder="1" applyAlignment="1">
      <alignment horizontal="center" vertical="center"/>
    </xf>
    <xf numFmtId="169" fontId="10" fillId="5" borderId="0" xfId="0" applyNumberFormat="1" applyFont="1" applyFill="1" applyAlignment="1">
      <alignment horizontal="center" vertical="center"/>
    </xf>
    <xf numFmtId="169" fontId="10" fillId="5" borderId="1" xfId="0" applyNumberFormat="1" applyFont="1" applyFill="1" applyBorder="1" applyAlignment="1">
      <alignment horizontal="center" vertical="center"/>
    </xf>
    <xf numFmtId="169" fontId="10"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2" applyFont="1" applyFill="1" applyBorder="1" applyAlignment="1">
      <alignment horizontal="center" vertical="center" wrapText="1"/>
    </xf>
    <xf numFmtId="0" fontId="0" fillId="0" borderId="1" xfId="0" applyBorder="1" applyAlignment="1">
      <alignment vertical="center" wrapText="1"/>
    </xf>
    <xf numFmtId="1" fontId="10" fillId="0" borderId="1" xfId="0" applyNumberFormat="1" applyFont="1" applyBorder="1" applyAlignment="1">
      <alignment vertical="center" wrapText="1"/>
    </xf>
    <xf numFmtId="169" fontId="10" fillId="0" borderId="1" xfId="0" applyNumberFormat="1" applyFont="1" applyBorder="1" applyAlignment="1">
      <alignment vertical="center" wrapText="1"/>
    </xf>
    <xf numFmtId="10" fontId="10" fillId="0" borderId="1" xfId="0" applyNumberFormat="1" applyFont="1" applyBorder="1" applyAlignment="1">
      <alignment vertical="center" wrapText="1"/>
    </xf>
    <xf numFmtId="0" fontId="0" fillId="0" borderId="0" xfId="0" applyAlignment="1">
      <alignment vertical="center" wrapText="1"/>
    </xf>
    <xf numFmtId="1" fontId="10" fillId="0" borderId="0" xfId="0" applyNumberFormat="1" applyFont="1" applyAlignment="1">
      <alignment vertical="center" wrapText="1"/>
    </xf>
    <xf numFmtId="1" fontId="0" fillId="0" borderId="0" xfId="0" applyNumberFormat="1" applyAlignment="1">
      <alignment vertical="center" wrapText="1"/>
    </xf>
    <xf numFmtId="0" fontId="3" fillId="5" borderId="1" xfId="4" applyFont="1" applyFill="1" applyBorder="1" applyAlignment="1">
      <alignment horizontal="center" vertical="center" wrapText="1"/>
    </xf>
    <xf numFmtId="0" fontId="10" fillId="0" borderId="1" xfId="0" applyFont="1" applyFill="1" applyBorder="1" applyAlignment="1">
      <alignment horizontal="left"/>
    </xf>
    <xf numFmtId="0" fontId="9" fillId="0" borderId="0" xfId="0" applyFont="1" applyFill="1" applyAlignment="1">
      <alignment horizontal="left" vertical="center" wrapText="1"/>
    </xf>
    <xf numFmtId="0" fontId="2" fillId="0" borderId="6" xfId="2" applyFont="1" applyFill="1" applyBorder="1" applyAlignment="1">
      <alignment horizontal="right" vertical="center"/>
    </xf>
    <xf numFmtId="0" fontId="2" fillId="0" borderId="3" xfId="2" applyFont="1" applyFill="1" applyBorder="1" applyAlignment="1">
      <alignment horizontal="right" vertical="center"/>
    </xf>
    <xf numFmtId="0" fontId="3" fillId="3" borderId="1" xfId="3" applyFont="1" applyFill="1" applyBorder="1" applyAlignment="1">
      <alignment horizontal="center" vertical="center" wrapText="1"/>
    </xf>
    <xf numFmtId="14" fontId="3" fillId="3" borderId="1" xfId="3" applyNumberFormat="1" applyFont="1" applyFill="1" applyBorder="1" applyAlignment="1">
      <alignment horizontal="center" vertical="center" wrapText="1"/>
    </xf>
    <xf numFmtId="167" fontId="3" fillId="3" borderId="1" xfId="3" applyNumberFormat="1" applyFont="1" applyFill="1" applyBorder="1" applyAlignment="1">
      <alignment horizontal="center" vertical="center" wrapText="1"/>
    </xf>
    <xf numFmtId="167" fontId="3" fillId="3" borderId="5" xfId="3" applyNumberFormat="1" applyFont="1" applyFill="1" applyBorder="1" applyAlignment="1">
      <alignment horizontal="center" vertical="center"/>
    </xf>
    <xf numFmtId="167" fontId="3" fillId="3" borderId="8" xfId="3" applyNumberFormat="1" applyFont="1" applyFill="1" applyBorder="1" applyAlignment="1">
      <alignment horizontal="center" vertical="center"/>
    </xf>
    <xf numFmtId="167" fontId="3" fillId="3" borderId="2" xfId="3" applyNumberFormat="1" applyFont="1" applyFill="1" applyBorder="1" applyAlignment="1">
      <alignment horizontal="center" vertical="center"/>
    </xf>
    <xf numFmtId="0" fontId="3" fillId="3" borderId="5" xfId="3" applyFont="1" applyFill="1" applyBorder="1" applyAlignment="1">
      <alignment horizontal="center" vertical="center"/>
    </xf>
    <xf numFmtId="0" fontId="3" fillId="3" borderId="8" xfId="3" applyFont="1" applyFill="1" applyBorder="1" applyAlignment="1">
      <alignment horizontal="center" vertical="center"/>
    </xf>
    <xf numFmtId="0" fontId="3" fillId="3" borderId="2" xfId="3" applyFont="1" applyFill="1" applyBorder="1" applyAlignment="1">
      <alignment horizontal="center" vertical="center"/>
    </xf>
    <xf numFmtId="0" fontId="2" fillId="0" borderId="6" xfId="3" applyFont="1" applyFill="1" applyBorder="1" applyAlignment="1">
      <alignment horizontal="right" vertical="center"/>
    </xf>
    <xf numFmtId="0" fontId="2" fillId="0" borderId="3" xfId="3" applyFont="1" applyFill="1" applyBorder="1" applyAlignment="1">
      <alignment horizontal="right" vertical="center"/>
    </xf>
    <xf numFmtId="0" fontId="2" fillId="0" borderId="4" xfId="3" applyFont="1" applyFill="1" applyBorder="1" applyAlignment="1">
      <alignment horizontal="right" vertical="center"/>
    </xf>
    <xf numFmtId="167" fontId="3" fillId="3" borderId="1" xfId="3" applyNumberFormat="1" applyFont="1" applyFill="1" applyBorder="1" applyAlignment="1">
      <alignment horizontal="center" vertical="center"/>
    </xf>
    <xf numFmtId="0" fontId="2" fillId="0" borderId="9" xfId="4" applyFont="1" applyFill="1" applyBorder="1" applyAlignment="1">
      <alignment horizontal="right" vertical="center"/>
    </xf>
    <xf numFmtId="0" fontId="2" fillId="0" borderId="11" xfId="4" applyFont="1" applyFill="1" applyBorder="1" applyAlignment="1">
      <alignment horizontal="right" vertical="center"/>
    </xf>
    <xf numFmtId="0" fontId="2" fillId="0" borderId="7" xfId="4" applyFont="1" applyFill="1" applyBorder="1" applyAlignment="1">
      <alignment horizontal="right" vertical="center"/>
    </xf>
    <xf numFmtId="0" fontId="2" fillId="0" borderId="9" xfId="2" applyFont="1" applyFill="1" applyBorder="1" applyAlignment="1">
      <alignment horizontal="right" vertical="center"/>
    </xf>
    <xf numFmtId="0" fontId="2" fillId="0" borderId="11" xfId="2" applyFont="1" applyFill="1" applyBorder="1" applyAlignment="1">
      <alignment horizontal="right" vertical="center"/>
    </xf>
    <xf numFmtId="0" fontId="2" fillId="0" borderId="7" xfId="2" applyFont="1" applyFill="1" applyBorder="1" applyAlignment="1">
      <alignment horizontal="right" vertical="center"/>
    </xf>
    <xf numFmtId="0" fontId="2" fillId="0" borderId="1" xfId="2" applyFont="1" applyFill="1" applyBorder="1" applyAlignment="1">
      <alignment horizontal="right" vertical="center" wrapText="1"/>
    </xf>
    <xf numFmtId="0" fontId="2" fillId="0" borderId="1" xfId="2" applyFont="1" applyFill="1" applyBorder="1" applyAlignment="1">
      <alignment horizontal="center" vertical="center" wrapText="1"/>
    </xf>
    <xf numFmtId="0" fontId="2" fillId="0" borderId="9" xfId="2" applyFont="1" applyFill="1" applyBorder="1" applyAlignment="1">
      <alignment horizontal="right" vertical="center" wrapText="1"/>
    </xf>
    <xf numFmtId="0" fontId="2" fillId="0" borderId="11" xfId="2" applyFont="1" applyFill="1" applyBorder="1" applyAlignment="1">
      <alignment horizontal="right" vertical="center" wrapText="1"/>
    </xf>
    <xf numFmtId="0" fontId="2" fillId="0" borderId="7" xfId="2" applyFont="1" applyFill="1" applyBorder="1" applyAlignment="1">
      <alignment horizontal="right" vertical="center" wrapText="1"/>
    </xf>
    <xf numFmtId="0" fontId="2" fillId="0" borderId="2" xfId="2" applyFont="1" applyFill="1" applyBorder="1" applyAlignment="1">
      <alignment horizontal="right" vertical="center" wrapText="1"/>
    </xf>
    <xf numFmtId="165" fontId="10" fillId="0" borderId="5" xfId="0" applyNumberFormat="1" applyFont="1" applyFill="1" applyBorder="1" applyAlignment="1">
      <alignment horizontal="center" vertical="center" wrapText="1"/>
    </xf>
    <xf numFmtId="165" fontId="10" fillId="0" borderId="2" xfId="0"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2" xfId="0" applyFont="1" applyFill="1" applyBorder="1" applyAlignment="1">
      <alignment horizontal="center" vertical="center" wrapText="1"/>
    </xf>
    <xf numFmtId="14" fontId="10" fillId="0" borderId="5" xfId="0" applyNumberFormat="1" applyFont="1" applyFill="1" applyBorder="1" applyAlignment="1">
      <alignment horizontal="center" vertical="center" wrapText="1"/>
    </xf>
    <xf numFmtId="14" fontId="10" fillId="0" borderId="2" xfId="0" applyNumberFormat="1" applyFont="1" applyFill="1" applyBorder="1" applyAlignment="1">
      <alignment horizontal="center" vertical="center" wrapText="1"/>
    </xf>
    <xf numFmtId="14" fontId="10" fillId="0" borderId="5" xfId="0" applyNumberFormat="1" applyFont="1" applyBorder="1" applyAlignment="1">
      <alignment horizontal="center" vertical="center" wrapText="1"/>
    </xf>
    <xf numFmtId="14" fontId="10" fillId="0" borderId="2" xfId="0" applyNumberFormat="1" applyFont="1" applyBorder="1" applyAlignment="1">
      <alignment horizontal="center" vertical="center" wrapText="1"/>
    </xf>
    <xf numFmtId="1" fontId="10" fillId="0" borderId="5" xfId="0" applyNumberFormat="1" applyFont="1" applyFill="1" applyBorder="1" applyAlignment="1">
      <alignment horizontal="center" vertical="center" wrapText="1"/>
    </xf>
    <xf numFmtId="1" fontId="10" fillId="0" borderId="2" xfId="0" applyNumberFormat="1" applyFont="1" applyFill="1" applyBorder="1" applyAlignment="1">
      <alignment horizontal="center" vertical="center" wrapText="1"/>
    </xf>
    <xf numFmtId="14" fontId="10" fillId="0" borderId="5" xfId="0" applyNumberFormat="1" applyFont="1" applyFill="1" applyBorder="1" applyAlignment="1">
      <alignment horizontal="center" vertical="center"/>
    </xf>
    <xf numFmtId="14" fontId="10" fillId="0" borderId="2" xfId="0" applyNumberFormat="1" applyFont="1" applyFill="1" applyBorder="1" applyAlignment="1">
      <alignment horizontal="center" vertical="center"/>
    </xf>
    <xf numFmtId="14" fontId="3" fillId="0" borderId="5" xfId="3" applyNumberFormat="1" applyFont="1" applyFill="1" applyBorder="1" applyAlignment="1">
      <alignment horizontal="center" vertical="center" wrapText="1"/>
    </xf>
    <xf numFmtId="14" fontId="3" fillId="0" borderId="2" xfId="3" applyNumberFormat="1" applyFont="1" applyFill="1" applyBorder="1" applyAlignment="1">
      <alignment horizontal="center" vertical="center" wrapText="1"/>
    </xf>
    <xf numFmtId="165" fontId="10" fillId="0" borderId="5" xfId="0" applyNumberFormat="1" applyFont="1" applyBorder="1" applyAlignment="1">
      <alignment horizontal="center" vertical="center" wrapText="1"/>
    </xf>
    <xf numFmtId="165" fontId="10" fillId="0" borderId="2" xfId="0" applyNumberFormat="1" applyFont="1" applyBorder="1" applyAlignment="1">
      <alignment horizontal="center" vertical="center" wrapText="1"/>
    </xf>
    <xf numFmtId="0" fontId="10" fillId="0" borderId="5" xfId="0" applyFont="1" applyBorder="1" applyAlignment="1">
      <alignment horizontal="center" vertical="center" wrapText="1"/>
    </xf>
    <xf numFmtId="0" fontId="10" fillId="0" borderId="2" xfId="0" applyFont="1" applyBorder="1" applyAlignment="1">
      <alignment horizontal="center" vertical="center" wrapText="1"/>
    </xf>
    <xf numFmtId="0" fontId="3" fillId="0" borderId="5" xfId="2" applyFont="1" applyFill="1" applyBorder="1" applyAlignment="1">
      <alignment horizontal="center" vertical="center" wrapText="1"/>
    </xf>
    <xf numFmtId="0" fontId="3" fillId="0" borderId="2" xfId="2" applyFont="1" applyFill="1" applyBorder="1" applyAlignment="1">
      <alignment horizontal="center" vertical="center" wrapText="1"/>
    </xf>
    <xf numFmtId="0" fontId="18" fillId="0" borderId="9" xfId="0" applyFont="1" applyFill="1" applyBorder="1" applyAlignment="1">
      <alignment horizontal="right" vertical="center" wrapText="1"/>
    </xf>
    <xf numFmtId="0" fontId="18" fillId="0" borderId="11" xfId="0" applyFont="1" applyFill="1" applyBorder="1" applyAlignment="1">
      <alignment horizontal="right" vertical="center" wrapText="1"/>
    </xf>
    <xf numFmtId="0" fontId="18" fillId="0" borderId="7" xfId="0" applyFont="1" applyFill="1" applyBorder="1" applyAlignment="1">
      <alignment horizontal="right" vertical="center" wrapText="1"/>
    </xf>
    <xf numFmtId="0" fontId="3" fillId="0" borderId="1" xfId="2" applyFont="1" applyFill="1" applyBorder="1" applyAlignment="1">
      <alignment horizontal="center" vertical="center" wrapText="1"/>
    </xf>
    <xf numFmtId="0" fontId="10" fillId="0" borderId="1" xfId="0" applyFont="1" applyFill="1" applyBorder="1" applyAlignment="1">
      <alignment horizontal="left" vertical="center" wrapText="1"/>
    </xf>
    <xf numFmtId="0" fontId="18" fillId="0" borderId="1" xfId="0" applyFont="1" applyFill="1" applyBorder="1" applyAlignment="1">
      <alignment horizontal="right"/>
    </xf>
    <xf numFmtId="0" fontId="18" fillId="0" borderId="9" xfId="0" applyFont="1" applyFill="1" applyBorder="1" applyAlignment="1">
      <alignment horizontal="right"/>
    </xf>
    <xf numFmtId="0" fontId="18" fillId="0" borderId="11" xfId="0" applyFont="1" applyFill="1" applyBorder="1" applyAlignment="1">
      <alignment horizontal="right"/>
    </xf>
    <xf numFmtId="0" fontId="18" fillId="0" borderId="7" xfId="0" applyFont="1" applyFill="1" applyBorder="1" applyAlignment="1">
      <alignment horizontal="right"/>
    </xf>
    <xf numFmtId="0" fontId="18" fillId="0" borderId="9" xfId="0" applyFont="1" applyFill="1" applyBorder="1" applyAlignment="1">
      <alignment horizontal="center"/>
    </xf>
    <xf numFmtId="0" fontId="18" fillId="0" borderId="11" xfId="0" applyFont="1" applyFill="1" applyBorder="1" applyAlignment="1">
      <alignment horizontal="center"/>
    </xf>
    <xf numFmtId="0" fontId="18" fillId="0" borderId="1" xfId="0" applyFont="1" applyBorder="1" applyAlignment="1">
      <alignment horizontal="right"/>
    </xf>
  </cellXfs>
  <cellStyles count="7">
    <cellStyle name="Euro" xfId="1"/>
    <cellStyle name="Normale" xfId="0" builtinId="0"/>
    <cellStyle name="Normale 2" xfId="2"/>
    <cellStyle name="Normale 3" xfId="3"/>
    <cellStyle name="Normale 3 2" xfId="6"/>
    <cellStyle name="Normale 4" xfId="4"/>
    <cellStyle name="Normale 4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8"/>
  <sheetViews>
    <sheetView zoomScale="80" zoomScaleNormal="80" workbookViewId="0">
      <pane ySplit="1" topLeftCell="A16" activePane="bottomLeft" state="frozen"/>
      <selection pane="bottomLeft" activeCell="B26" sqref="B26:D27"/>
    </sheetView>
  </sheetViews>
  <sheetFormatPr defaultColWidth="9" defaultRowHeight="15" x14ac:dyDescent="0.25"/>
  <cols>
    <col min="1" max="1" width="38.5703125" style="241" customWidth="1"/>
    <col min="2" max="2" width="19.7109375" style="263" bestFit="1" customWidth="1"/>
    <col min="3" max="3" width="25.5703125" style="263" bestFit="1" customWidth="1"/>
    <col min="4" max="4" width="15.140625" style="263" bestFit="1" customWidth="1"/>
    <col min="5" max="5" width="14.85546875" style="263" bestFit="1" customWidth="1"/>
    <col min="6" max="6" width="21.85546875" style="263" customWidth="1"/>
    <col min="7" max="7" width="16.85546875" style="244" customWidth="1"/>
    <col min="8" max="8" width="21.5703125" style="270" customWidth="1"/>
    <col min="9" max="11" width="19.28515625" style="263" bestFit="1" customWidth="1"/>
    <col min="12" max="12" width="15.28515625" style="241" bestFit="1" customWidth="1"/>
    <col min="13" max="13" width="14.140625" style="241" bestFit="1" customWidth="1"/>
    <col min="14" max="14" width="13.85546875" style="263" bestFit="1" customWidth="1"/>
    <col min="15" max="15" width="16.28515625" style="263" bestFit="1" customWidth="1"/>
    <col min="16" max="16" width="14.85546875" style="244" customWidth="1"/>
    <col min="17" max="16384" width="9" style="241"/>
  </cols>
  <sheetData>
    <row r="1" spans="1:18" s="160" customFormat="1" ht="45" x14ac:dyDescent="0.25">
      <c r="A1" s="158" t="s">
        <v>760</v>
      </c>
      <c r="B1" s="158" t="s">
        <v>884</v>
      </c>
      <c r="C1" s="158" t="s">
        <v>885</v>
      </c>
      <c r="D1" s="158" t="s">
        <v>886</v>
      </c>
      <c r="E1" s="158" t="s">
        <v>887</v>
      </c>
      <c r="F1" s="158" t="s">
        <v>761</v>
      </c>
      <c r="G1" s="158" t="s">
        <v>873</v>
      </c>
      <c r="H1" s="246" t="s">
        <v>762</v>
      </c>
      <c r="I1" s="159" t="s">
        <v>888</v>
      </c>
      <c r="J1" s="262" t="s">
        <v>890</v>
      </c>
      <c r="K1" s="262" t="s">
        <v>891</v>
      </c>
      <c r="L1" s="262" t="s">
        <v>763</v>
      </c>
      <c r="M1" s="262" t="s">
        <v>889</v>
      </c>
      <c r="N1" s="262" t="s">
        <v>1224</v>
      </c>
      <c r="O1" s="262" t="s">
        <v>1223</v>
      </c>
      <c r="P1" s="159" t="s">
        <v>892</v>
      </c>
    </row>
    <row r="2" spans="1:18" s="236" customFormat="1" ht="25.5" x14ac:dyDescent="0.25">
      <c r="A2" s="161" t="s">
        <v>764</v>
      </c>
      <c r="B2" s="119">
        <v>999105.08</v>
      </c>
      <c r="C2" s="119">
        <v>999105.08</v>
      </c>
      <c r="D2" s="119">
        <v>999105.08</v>
      </c>
      <c r="E2" s="119">
        <f t="shared" ref="E2:E14" si="0">C2-D2</f>
        <v>0</v>
      </c>
      <c r="F2" s="199" t="s">
        <v>765</v>
      </c>
      <c r="G2" s="162" t="s">
        <v>875</v>
      </c>
      <c r="H2" s="185" t="s">
        <v>945</v>
      </c>
      <c r="I2" s="163">
        <f>'Tecnologie 1'!Q22</f>
        <v>997243.44520000007</v>
      </c>
      <c r="J2" s="235">
        <v>997243.44520000007</v>
      </c>
      <c r="K2" s="235">
        <v>0</v>
      </c>
      <c r="L2" s="235">
        <f t="shared" ref="L2:M23" si="1">C2-I2</f>
        <v>1861.6347999998834</v>
      </c>
      <c r="M2" s="235">
        <f>'Tecnologie 1'!S22</f>
        <v>1861.6394799999835</v>
      </c>
      <c r="N2" s="235">
        <v>1861.64</v>
      </c>
      <c r="O2" s="235">
        <v>0</v>
      </c>
      <c r="P2" s="164">
        <f t="shared" ref="P2:P14" si="2">(J2+N2)/D2</f>
        <v>1.0000000052046578</v>
      </c>
    </row>
    <row r="3" spans="1:18" s="166" customFormat="1" ht="38.25" x14ac:dyDescent="0.25">
      <c r="A3" s="165" t="s">
        <v>766</v>
      </c>
      <c r="B3" s="119">
        <v>2200894.92</v>
      </c>
      <c r="C3" s="119">
        <v>2200894.92</v>
      </c>
      <c r="D3" s="119">
        <v>2200894.92</v>
      </c>
      <c r="E3" s="119">
        <f t="shared" si="0"/>
        <v>0</v>
      </c>
      <c r="F3" s="199" t="s">
        <v>767</v>
      </c>
      <c r="G3" s="162" t="s">
        <v>875</v>
      </c>
      <c r="H3" s="185" t="s">
        <v>946</v>
      </c>
      <c r="I3" s="163">
        <f>'Tecnologie 2 '!Q70</f>
        <v>2198017.2951200008</v>
      </c>
      <c r="J3" s="235">
        <v>2193575.7540800008</v>
      </c>
      <c r="K3" s="235">
        <v>0</v>
      </c>
      <c r="L3" s="235">
        <f t="shared" si="1"/>
        <v>2877.6248799990863</v>
      </c>
      <c r="M3" s="235">
        <f>'Tecnologie 2 '!S70</f>
        <v>2877.622879999999</v>
      </c>
      <c r="N3" s="235">
        <v>7319.1639200000027</v>
      </c>
      <c r="O3" s="235">
        <v>0</v>
      </c>
      <c r="P3" s="164">
        <f t="shared" si="2"/>
        <v>0.99999999909127923</v>
      </c>
    </row>
    <row r="4" spans="1:18" s="166" customFormat="1" ht="38.25" x14ac:dyDescent="0.25">
      <c r="A4" s="165" t="s">
        <v>1624</v>
      </c>
      <c r="B4" s="119">
        <v>250000</v>
      </c>
      <c r="C4" s="119">
        <v>250000</v>
      </c>
      <c r="D4" s="119">
        <v>250000</v>
      </c>
      <c r="E4" s="119">
        <v>0</v>
      </c>
      <c r="F4" s="199" t="s">
        <v>1625</v>
      </c>
      <c r="G4" s="162" t="s">
        <v>874</v>
      </c>
      <c r="H4" s="185" t="s">
        <v>1626</v>
      </c>
      <c r="I4" s="163">
        <f>169529*1.22</f>
        <v>206825.38</v>
      </c>
      <c r="J4" s="235">
        <v>206825.38</v>
      </c>
      <c r="K4" s="235">
        <v>0</v>
      </c>
      <c r="L4" s="235">
        <f t="shared" si="1"/>
        <v>43174.619999999995</v>
      </c>
      <c r="M4" s="235">
        <v>43174.619999999995</v>
      </c>
      <c r="N4" s="235">
        <v>43174.619999999995</v>
      </c>
      <c r="O4" s="235">
        <v>0</v>
      </c>
      <c r="P4" s="164">
        <f t="shared" si="2"/>
        <v>1</v>
      </c>
    </row>
    <row r="5" spans="1:18" s="166" customFormat="1" ht="38.25" x14ac:dyDescent="0.25">
      <c r="A5" s="167" t="s">
        <v>768</v>
      </c>
      <c r="B5" s="119">
        <v>4100201.4479800006</v>
      </c>
      <c r="C5" s="119">
        <v>4100201.4479800006</v>
      </c>
      <c r="D5" s="119">
        <v>2438561.4475800004</v>
      </c>
      <c r="E5" s="119">
        <f t="shared" si="0"/>
        <v>1661640.0004000003</v>
      </c>
      <c r="F5" s="199" t="s">
        <v>769</v>
      </c>
      <c r="G5" s="162" t="s">
        <v>874</v>
      </c>
      <c r="H5" s="185" t="s">
        <v>947</v>
      </c>
      <c r="I5" s="163">
        <f>'P.S. Territoriale Rim.'!Q87</f>
        <v>3476015.7279800004</v>
      </c>
      <c r="J5" s="283">
        <v>1997430.58</v>
      </c>
      <c r="K5" s="283">
        <v>1478585.15</v>
      </c>
      <c r="L5" s="235">
        <f t="shared" si="1"/>
        <v>624185.7200000002</v>
      </c>
      <c r="M5" s="235">
        <f>'P.S. Territoriale Rim.'!S87</f>
        <v>583315.71959999995</v>
      </c>
      <c r="N5" s="283">
        <v>400260.87</v>
      </c>
      <c r="O5" s="283">
        <v>183054.55</v>
      </c>
      <c r="P5" s="164">
        <f t="shared" si="2"/>
        <v>0.98324011985814053</v>
      </c>
    </row>
    <row r="6" spans="1:18" s="166" customFormat="1" x14ac:dyDescent="0.25">
      <c r="A6" s="167" t="s">
        <v>770</v>
      </c>
      <c r="B6" s="119">
        <v>122511.14</v>
      </c>
      <c r="C6" s="119">
        <v>122511.14</v>
      </c>
      <c r="D6" s="119">
        <v>122511.14</v>
      </c>
      <c r="E6" s="119">
        <f t="shared" si="0"/>
        <v>0</v>
      </c>
      <c r="F6" s="199" t="s">
        <v>771</v>
      </c>
      <c r="G6" s="162" t="s">
        <v>874</v>
      </c>
      <c r="H6" s="185" t="s">
        <v>948</v>
      </c>
      <c r="I6" s="163">
        <f>'S.I.T. '!Q10</f>
        <v>49494.143400000001</v>
      </c>
      <c r="J6" s="235">
        <v>49494.143400000001</v>
      </c>
      <c r="K6" s="235">
        <v>0</v>
      </c>
      <c r="L6" s="235">
        <f t="shared" si="1"/>
        <v>73016.996599999999</v>
      </c>
      <c r="M6" s="235">
        <f>'S.I.T. '!S10</f>
        <v>8357</v>
      </c>
      <c r="N6" s="235">
        <v>8357</v>
      </c>
      <c r="O6" s="235">
        <v>0</v>
      </c>
      <c r="P6" s="164">
        <f t="shared" si="2"/>
        <v>0.47221128952028363</v>
      </c>
    </row>
    <row r="7" spans="1:18" ht="51" x14ac:dyDescent="0.25">
      <c r="A7" s="167" t="s">
        <v>1222</v>
      </c>
      <c r="B7" s="119">
        <v>7050073.9996000007</v>
      </c>
      <c r="C7" s="119">
        <v>7050073.9996000007</v>
      </c>
      <c r="D7" s="119">
        <v>1650170.9996</v>
      </c>
      <c r="E7" s="119">
        <f t="shared" si="0"/>
        <v>5399903.0000000009</v>
      </c>
      <c r="F7" s="237" t="s">
        <v>772</v>
      </c>
      <c r="G7" s="238" t="s">
        <v>876</v>
      </c>
      <c r="H7" s="239" t="s">
        <v>949</v>
      </c>
      <c r="I7" s="163">
        <f>'Adp Matera'!Q62</f>
        <v>5728709.6832888881</v>
      </c>
      <c r="J7" s="163">
        <v>1137722.7974</v>
      </c>
      <c r="K7" s="235">
        <v>4590986.8899999997</v>
      </c>
      <c r="L7" s="235">
        <f t="shared" si="1"/>
        <v>1321364.3163111126</v>
      </c>
      <c r="M7" s="235">
        <f>'Adp Matera'!S62</f>
        <v>1065164.3174335114</v>
      </c>
      <c r="N7" s="235">
        <v>329448.2022</v>
      </c>
      <c r="O7" s="235">
        <v>735716.12</v>
      </c>
      <c r="P7" s="240">
        <f t="shared" si="2"/>
        <v>0.88910240208780844</v>
      </c>
    </row>
    <row r="8" spans="1:18" ht="51" x14ac:dyDescent="0.25">
      <c r="A8" s="167" t="s">
        <v>1221</v>
      </c>
      <c r="B8" s="119">
        <v>1949926</v>
      </c>
      <c r="C8" s="119">
        <v>1949926</v>
      </c>
      <c r="D8" s="119">
        <v>926346</v>
      </c>
      <c r="E8" s="119">
        <f t="shared" si="0"/>
        <v>1023580</v>
      </c>
      <c r="F8" s="237" t="s">
        <v>773</v>
      </c>
      <c r="G8" s="238" t="s">
        <v>876</v>
      </c>
      <c r="H8" s="239" t="s">
        <v>950</v>
      </c>
      <c r="I8" s="163">
        <f>'Adp Policoro'!Q35</f>
        <v>1581135.340311111</v>
      </c>
      <c r="J8" s="163">
        <v>758120.15119999996</v>
      </c>
      <c r="K8" s="282">
        <v>823015.19</v>
      </c>
      <c r="L8" s="235">
        <f t="shared" si="1"/>
        <v>368790.65968888905</v>
      </c>
      <c r="M8" s="235">
        <f>'Adp Policoro'!S35</f>
        <v>368790.65968888882</v>
      </c>
      <c r="N8" s="235">
        <v>168225.84880000001</v>
      </c>
      <c r="O8" s="283">
        <v>200564.81</v>
      </c>
      <c r="P8" s="240">
        <f t="shared" si="2"/>
        <v>1</v>
      </c>
    </row>
    <row r="9" spans="1:18" s="166" customFormat="1" x14ac:dyDescent="0.25">
      <c r="A9" s="165" t="s">
        <v>893</v>
      </c>
      <c r="B9" s="119">
        <v>3750000</v>
      </c>
      <c r="C9" s="119">
        <v>3750000</v>
      </c>
      <c r="D9" s="119">
        <v>627399.99867999996</v>
      </c>
      <c r="E9" s="119">
        <f t="shared" si="0"/>
        <v>3122600.0013199998</v>
      </c>
      <c r="F9" s="199" t="s">
        <v>774</v>
      </c>
      <c r="G9" s="162" t="s">
        <v>874</v>
      </c>
      <c r="H9" s="185" t="s">
        <v>951</v>
      </c>
      <c r="I9" s="163">
        <f>'Adeguamento tecnologico'!Q12</f>
        <v>3457149.7176000006</v>
      </c>
      <c r="J9" s="163">
        <v>352639.41399999999</v>
      </c>
      <c r="K9" s="235">
        <v>3104511.5236000004</v>
      </c>
      <c r="L9" s="235">
        <f t="shared" si="1"/>
        <v>292850.28239999944</v>
      </c>
      <c r="M9" s="235">
        <f>'Adeguamento tecnologico'!S12</f>
        <v>43650.282400000004</v>
      </c>
      <c r="N9" s="235">
        <v>25560.586000000028</v>
      </c>
      <c r="O9" s="235">
        <v>18088.476400000003</v>
      </c>
      <c r="P9" s="164">
        <f t="shared" si="2"/>
        <v>0.60280522919302348</v>
      </c>
    </row>
    <row r="10" spans="1:18" s="166" customFormat="1" x14ac:dyDescent="0.25">
      <c r="A10" s="165" t="s">
        <v>775</v>
      </c>
      <c r="B10" s="119">
        <v>34000</v>
      </c>
      <c r="C10" s="119">
        <v>34000</v>
      </c>
      <c r="D10" s="119">
        <v>34000</v>
      </c>
      <c r="E10" s="119">
        <f t="shared" si="0"/>
        <v>0</v>
      </c>
      <c r="F10" s="199" t="s">
        <v>776</v>
      </c>
      <c r="G10" s="162" t="s">
        <v>874</v>
      </c>
      <c r="H10" s="185" t="s">
        <v>777</v>
      </c>
      <c r="I10" s="163">
        <f>'Struttura penitenziaria'!Q4</f>
        <v>15121.655999999999</v>
      </c>
      <c r="J10" s="235">
        <v>15121.655999999999</v>
      </c>
      <c r="K10" s="235">
        <v>0</v>
      </c>
      <c r="L10" s="235">
        <f t="shared" si="1"/>
        <v>18878.344000000001</v>
      </c>
      <c r="M10" s="235">
        <f>'Struttura penitenziaria'!S4</f>
        <v>6838.344000000001</v>
      </c>
      <c r="N10" s="235">
        <v>6838.344000000001</v>
      </c>
      <c r="O10" s="235">
        <v>0</v>
      </c>
      <c r="P10" s="164">
        <f t="shared" si="2"/>
        <v>0.64588235294117646</v>
      </c>
    </row>
    <row r="11" spans="1:18" s="166" customFormat="1" ht="63.75" x14ac:dyDescent="0.25">
      <c r="A11" s="165" t="s">
        <v>872</v>
      </c>
      <c r="B11" s="119">
        <v>183500</v>
      </c>
      <c r="C11" s="119">
        <v>183500</v>
      </c>
      <c r="D11" s="119">
        <v>183500</v>
      </c>
      <c r="E11" s="119">
        <f t="shared" si="0"/>
        <v>0</v>
      </c>
      <c r="F11" s="199" t="s">
        <v>894</v>
      </c>
      <c r="G11" s="162" t="s">
        <v>875</v>
      </c>
      <c r="H11" s="185" t="s">
        <v>1220</v>
      </c>
      <c r="I11" s="163">
        <f>ADI!Q14</f>
        <v>54115.432000000001</v>
      </c>
      <c r="J11" s="235">
        <v>54115.43</v>
      </c>
      <c r="K11" s="235">
        <v>0</v>
      </c>
      <c r="L11" s="235">
        <f t="shared" si="1"/>
        <v>129384.568</v>
      </c>
      <c r="M11" s="235">
        <f>ADI!S14</f>
        <v>41884.568080000005</v>
      </c>
      <c r="N11" s="283">
        <v>41884.568080000005</v>
      </c>
      <c r="O11" s="235">
        <v>0</v>
      </c>
      <c r="P11" s="164">
        <f t="shared" si="2"/>
        <v>0.52316075247956406</v>
      </c>
    </row>
    <row r="12" spans="1:18" s="166" customFormat="1" ht="63.75" x14ac:dyDescent="0.25">
      <c r="A12" s="168" t="s">
        <v>895</v>
      </c>
      <c r="B12" s="119">
        <v>1150500</v>
      </c>
      <c r="C12" s="119">
        <v>1150500</v>
      </c>
      <c r="D12" s="119">
        <v>985800</v>
      </c>
      <c r="E12" s="119">
        <v>164700</v>
      </c>
      <c r="F12" s="200" t="s">
        <v>896</v>
      </c>
      <c r="G12" s="201" t="s">
        <v>875</v>
      </c>
      <c r="H12" s="185" t="s">
        <v>1219</v>
      </c>
      <c r="I12" s="163">
        <f>'PUA-ADI'!Q24</f>
        <v>305332.00399999996</v>
      </c>
      <c r="J12" s="235">
        <v>277168.40000000002</v>
      </c>
      <c r="K12" s="235">
        <v>27126.6</v>
      </c>
      <c r="L12" s="235">
        <f t="shared" si="1"/>
        <v>845167.99600000004</v>
      </c>
      <c r="M12" s="235">
        <f>'PUA-ADI'!S24</f>
        <v>184077.99635999999</v>
      </c>
      <c r="N12" s="283">
        <v>47541.599999999999</v>
      </c>
      <c r="O12" s="235">
        <v>137573.4</v>
      </c>
      <c r="P12" s="164">
        <f t="shared" si="2"/>
        <v>0.32938729965510244</v>
      </c>
    </row>
    <row r="13" spans="1:18" s="244" customFormat="1" ht="63.75" x14ac:dyDescent="0.25">
      <c r="A13" s="242" t="s">
        <v>928</v>
      </c>
      <c r="B13" s="119">
        <v>290000</v>
      </c>
      <c r="C13" s="119">
        <v>290000</v>
      </c>
      <c r="D13" s="119">
        <v>266820</v>
      </c>
      <c r="E13" s="119">
        <v>23180</v>
      </c>
      <c r="F13" s="243" t="s">
        <v>929</v>
      </c>
      <c r="G13" s="238" t="s">
        <v>875</v>
      </c>
      <c r="H13" s="239" t="s">
        <v>1218</v>
      </c>
      <c r="I13" s="163">
        <f>HOSPICE!Q21</f>
        <v>15747.599999999999</v>
      </c>
      <c r="J13" s="235">
        <v>4099.2</v>
      </c>
      <c r="K13" s="235">
        <v>11648.4</v>
      </c>
      <c r="L13" s="235">
        <f t="shared" si="1"/>
        <v>274252.40000000002</v>
      </c>
      <c r="M13" s="235">
        <f>HOSPICE!S21</f>
        <v>12312.400000000001</v>
      </c>
      <c r="N13" s="235">
        <v>780.80000000000018</v>
      </c>
      <c r="O13" s="235">
        <v>11531.6</v>
      </c>
      <c r="P13" s="240">
        <f t="shared" si="2"/>
        <v>1.8289483546960496E-2</v>
      </c>
      <c r="Q13" s="241"/>
      <c r="R13" s="241"/>
    </row>
    <row r="14" spans="1:18" ht="45" x14ac:dyDescent="0.25">
      <c r="A14" s="167" t="s">
        <v>1102</v>
      </c>
      <c r="B14" s="119">
        <v>169500</v>
      </c>
      <c r="C14" s="119">
        <v>169500</v>
      </c>
      <c r="D14" s="119">
        <v>169500</v>
      </c>
      <c r="E14" s="119">
        <f t="shared" si="0"/>
        <v>0</v>
      </c>
      <c r="F14" s="245"/>
      <c r="G14" s="238" t="s">
        <v>898</v>
      </c>
      <c r="H14" s="248" t="s">
        <v>1103</v>
      </c>
      <c r="I14" s="119">
        <v>169500</v>
      </c>
      <c r="J14" s="119">
        <v>169500</v>
      </c>
      <c r="K14" s="235">
        <v>0</v>
      </c>
      <c r="L14" s="235">
        <f t="shared" si="1"/>
        <v>0</v>
      </c>
      <c r="M14" s="235">
        <v>0</v>
      </c>
      <c r="N14" s="235">
        <v>0</v>
      </c>
      <c r="O14" s="235">
        <v>0</v>
      </c>
      <c r="P14" s="240">
        <f t="shared" si="2"/>
        <v>1</v>
      </c>
    </row>
    <row r="15" spans="1:18" ht="300" x14ac:dyDescent="0.25">
      <c r="A15" s="165" t="s">
        <v>1568</v>
      </c>
      <c r="B15" s="119">
        <v>500000</v>
      </c>
      <c r="C15" s="119">
        <v>500000</v>
      </c>
      <c r="D15" s="119">
        <v>0</v>
      </c>
      <c r="E15" s="119">
        <v>500000</v>
      </c>
      <c r="F15" s="237" t="s">
        <v>1566</v>
      </c>
      <c r="G15" s="238" t="s">
        <v>1217</v>
      </c>
      <c r="H15" s="239" t="s">
        <v>1567</v>
      </c>
      <c r="I15" s="163">
        <v>500000</v>
      </c>
      <c r="J15" s="235">
        <v>0</v>
      </c>
      <c r="K15" s="235">
        <v>500000</v>
      </c>
      <c r="L15" s="235">
        <f t="shared" si="1"/>
        <v>0</v>
      </c>
      <c r="M15" s="235">
        <v>0</v>
      </c>
      <c r="N15" s="235"/>
      <c r="O15" s="235"/>
      <c r="P15" s="240" t="s">
        <v>899</v>
      </c>
    </row>
    <row r="16" spans="1:18" ht="30" x14ac:dyDescent="0.25">
      <c r="A16" s="167" t="s">
        <v>897</v>
      </c>
      <c r="B16" s="119">
        <v>1080000</v>
      </c>
      <c r="C16" s="119">
        <v>1080000</v>
      </c>
      <c r="D16" s="119">
        <v>0</v>
      </c>
      <c r="E16" s="119">
        <f>C16-D16</f>
        <v>1080000</v>
      </c>
      <c r="F16" s="237" t="s">
        <v>1623</v>
      </c>
      <c r="G16" s="238" t="s">
        <v>1614</v>
      </c>
      <c r="H16" s="239" t="s">
        <v>1619</v>
      </c>
      <c r="I16" s="163">
        <v>0</v>
      </c>
      <c r="J16" s="235">
        <v>0</v>
      </c>
      <c r="K16" s="235">
        <v>0</v>
      </c>
      <c r="L16" s="235">
        <f t="shared" si="1"/>
        <v>1080000</v>
      </c>
      <c r="M16" s="235">
        <v>0</v>
      </c>
      <c r="N16" s="235"/>
      <c r="O16" s="235"/>
      <c r="P16" s="240" t="s">
        <v>899</v>
      </c>
    </row>
    <row r="17" spans="1:16" ht="30" x14ac:dyDescent="0.25">
      <c r="A17" s="167" t="s">
        <v>900</v>
      </c>
      <c r="B17" s="119">
        <v>120000</v>
      </c>
      <c r="C17" s="119">
        <v>120000</v>
      </c>
      <c r="D17" s="119">
        <v>120000</v>
      </c>
      <c r="E17" s="119">
        <f>C17-D17</f>
        <v>0</v>
      </c>
      <c r="F17" s="237" t="s">
        <v>1618</v>
      </c>
      <c r="G17" s="238" t="s">
        <v>1614</v>
      </c>
      <c r="H17" s="239" t="s">
        <v>1619</v>
      </c>
      <c r="I17" s="163">
        <v>0</v>
      </c>
      <c r="J17" s="235">
        <v>0</v>
      </c>
      <c r="K17" s="235">
        <v>0</v>
      </c>
      <c r="L17" s="235">
        <f t="shared" si="1"/>
        <v>120000</v>
      </c>
      <c r="M17" s="235">
        <v>0</v>
      </c>
      <c r="N17" s="235"/>
      <c r="O17" s="235"/>
      <c r="P17" s="240" t="s">
        <v>899</v>
      </c>
    </row>
    <row r="18" spans="1:16" ht="30" x14ac:dyDescent="0.25">
      <c r="A18" s="167" t="s">
        <v>901</v>
      </c>
      <c r="B18" s="119">
        <v>1050000</v>
      </c>
      <c r="C18" s="119">
        <v>1050000</v>
      </c>
      <c r="D18" s="119">
        <v>0</v>
      </c>
      <c r="E18" s="119">
        <f>C18-D18</f>
        <v>1050000</v>
      </c>
      <c r="F18" s="237" t="s">
        <v>1620</v>
      </c>
      <c r="G18" s="238" t="s">
        <v>1614</v>
      </c>
      <c r="H18" s="239" t="s">
        <v>1619</v>
      </c>
      <c r="I18" s="163">
        <v>0</v>
      </c>
      <c r="J18" s="235">
        <v>0</v>
      </c>
      <c r="K18" s="235">
        <v>0</v>
      </c>
      <c r="L18" s="235">
        <f t="shared" si="1"/>
        <v>1050000</v>
      </c>
      <c r="M18" s="235">
        <v>0</v>
      </c>
      <c r="N18" s="235"/>
      <c r="O18" s="235"/>
      <c r="P18" s="240" t="s">
        <v>899</v>
      </c>
    </row>
    <row r="19" spans="1:16" ht="30" x14ac:dyDescent="0.25">
      <c r="A19" s="167" t="s">
        <v>1622</v>
      </c>
      <c r="B19" s="119">
        <v>210000</v>
      </c>
      <c r="C19" s="119">
        <v>210000</v>
      </c>
      <c r="D19" s="119">
        <v>210000</v>
      </c>
      <c r="E19" s="119">
        <f>C19-D19</f>
        <v>0</v>
      </c>
      <c r="F19" s="237" t="s">
        <v>1621</v>
      </c>
      <c r="G19" s="238" t="s">
        <v>898</v>
      </c>
      <c r="H19" s="239" t="s">
        <v>1619</v>
      </c>
      <c r="I19" s="163">
        <v>0</v>
      </c>
      <c r="J19" s="235">
        <v>0</v>
      </c>
      <c r="K19" s="235">
        <v>0</v>
      </c>
      <c r="L19" s="235">
        <f t="shared" si="1"/>
        <v>210000</v>
      </c>
      <c r="M19" s="235">
        <v>0</v>
      </c>
      <c r="N19" s="235"/>
      <c r="O19" s="235"/>
      <c r="P19" s="240" t="s">
        <v>899</v>
      </c>
    </row>
    <row r="20" spans="1:16" ht="38.25" x14ac:dyDescent="0.25">
      <c r="A20" s="167" t="s">
        <v>1569</v>
      </c>
      <c r="B20" s="119">
        <v>1486035.1971400001</v>
      </c>
      <c r="C20" s="119">
        <v>1486035.1971400001</v>
      </c>
      <c r="D20" s="119">
        <v>1486035.1971400001</v>
      </c>
      <c r="E20" s="119">
        <v>0</v>
      </c>
      <c r="F20" s="237" t="s">
        <v>1570</v>
      </c>
      <c r="G20" s="238" t="s">
        <v>1571</v>
      </c>
      <c r="H20" s="248" t="s">
        <v>1896</v>
      </c>
      <c r="I20" s="163">
        <f>'Potenziamento rete (terapia int'!Q35</f>
        <v>950323.44131999987</v>
      </c>
      <c r="J20" s="163">
        <f>I20</f>
        <v>950323.44131999987</v>
      </c>
      <c r="K20" s="235">
        <v>0</v>
      </c>
      <c r="L20" s="235">
        <f t="shared" si="1"/>
        <v>535711.75582000019</v>
      </c>
      <c r="M20" s="235">
        <f>'Potenziamento rete (terapia int'!S35</f>
        <v>0</v>
      </c>
      <c r="N20" s="235">
        <f>M20</f>
        <v>0</v>
      </c>
      <c r="O20" s="235">
        <v>0</v>
      </c>
      <c r="P20" s="240">
        <f>(J20+N20)/D20</f>
        <v>0.63950264647094324</v>
      </c>
    </row>
    <row r="21" spans="1:16" ht="38.25" x14ac:dyDescent="0.25">
      <c r="A21" s="167" t="s">
        <v>1572</v>
      </c>
      <c r="B21" s="119">
        <v>800624.9948760001</v>
      </c>
      <c r="C21" s="119">
        <v>800624.9948760001</v>
      </c>
      <c r="D21" s="119">
        <v>800624.9948760001</v>
      </c>
      <c r="E21" s="119">
        <v>0</v>
      </c>
      <c r="F21" s="237" t="s">
        <v>1570</v>
      </c>
      <c r="G21" s="238" t="s">
        <v>1571</v>
      </c>
      <c r="H21" s="248" t="s">
        <v>1896</v>
      </c>
      <c r="I21" s="163">
        <f>'Potenziamento rete (semi-int)'!Q26</f>
        <v>624572.36308000004</v>
      </c>
      <c r="J21" s="163">
        <f>I21</f>
        <v>624572.36308000004</v>
      </c>
      <c r="K21" s="235">
        <v>0</v>
      </c>
      <c r="L21" s="235">
        <f t="shared" si="1"/>
        <v>176052.63179600006</v>
      </c>
      <c r="M21" s="235">
        <f>'Potenziamento rete (semi-int)'!S26</f>
        <v>75.279999999999745</v>
      </c>
      <c r="N21" s="235">
        <v>0</v>
      </c>
      <c r="O21" s="235">
        <v>0</v>
      </c>
      <c r="P21" s="240">
        <f t="shared" ref="P21:P24" si="3">(J21+N21)/D21</f>
        <v>0.78010600103327166</v>
      </c>
    </row>
    <row r="22" spans="1:16" ht="38.25" x14ac:dyDescent="0.25">
      <c r="A22" s="167" t="s">
        <v>1573</v>
      </c>
      <c r="B22" s="119">
        <v>1001803</v>
      </c>
      <c r="C22" s="119">
        <v>1001803</v>
      </c>
      <c r="D22" s="119">
        <v>1001803</v>
      </c>
      <c r="E22" s="119">
        <v>0</v>
      </c>
      <c r="F22" s="237" t="s">
        <v>1570</v>
      </c>
      <c r="G22" s="238" t="s">
        <v>1571</v>
      </c>
      <c r="H22" s="248" t="s">
        <v>1896</v>
      </c>
      <c r="I22" s="163">
        <f>'Potenziamento rete (P.S)'!Q24</f>
        <v>284406.5514</v>
      </c>
      <c r="J22" s="235">
        <f>I22</f>
        <v>284406.5514</v>
      </c>
      <c r="K22" s="235">
        <v>0</v>
      </c>
      <c r="L22" s="235">
        <f t="shared" si="1"/>
        <v>717396.4486</v>
      </c>
      <c r="M22" s="235">
        <f>'Potenziamento rete (P.S)'!S24</f>
        <v>39649.299599999998</v>
      </c>
      <c r="N22" s="235">
        <v>0</v>
      </c>
      <c r="O22" s="235">
        <v>0</v>
      </c>
      <c r="P22" s="240">
        <f t="shared" si="3"/>
        <v>0.28389468927523676</v>
      </c>
    </row>
    <row r="23" spans="1:16" ht="38.25" x14ac:dyDescent="0.25">
      <c r="A23" s="167" t="s">
        <v>1574</v>
      </c>
      <c r="B23" s="119">
        <v>160000</v>
      </c>
      <c r="C23" s="119">
        <v>160000</v>
      </c>
      <c r="D23" s="119">
        <v>160000</v>
      </c>
      <c r="E23" s="119">
        <v>0</v>
      </c>
      <c r="F23" s="237" t="s">
        <v>1570</v>
      </c>
      <c r="G23" s="238" t="s">
        <v>1571</v>
      </c>
      <c r="H23" s="248" t="s">
        <v>1896</v>
      </c>
      <c r="I23" s="163">
        <v>110922.4</v>
      </c>
      <c r="J23" s="163">
        <v>110922.4</v>
      </c>
      <c r="K23" s="235">
        <v>0</v>
      </c>
      <c r="L23" s="235">
        <f t="shared" si="1"/>
        <v>49077.600000000006</v>
      </c>
      <c r="M23" s="235">
        <f t="shared" si="1"/>
        <v>49077.600000000006</v>
      </c>
      <c r="N23" s="235">
        <v>49077.600000000006</v>
      </c>
      <c r="O23" s="235">
        <v>0</v>
      </c>
      <c r="P23" s="240">
        <f t="shared" si="3"/>
        <v>1</v>
      </c>
    </row>
    <row r="24" spans="1:16" s="166" customFormat="1" ht="184.15" customHeight="1" x14ac:dyDescent="0.25">
      <c r="A24" s="167" t="s">
        <v>1709</v>
      </c>
      <c r="B24" s="119">
        <v>6560534.7829399994</v>
      </c>
      <c r="C24" s="119">
        <v>6560534.7829399994</v>
      </c>
      <c r="D24" s="119">
        <v>6560534.7829399994</v>
      </c>
      <c r="E24" s="119">
        <v>0</v>
      </c>
      <c r="F24" s="245" t="s">
        <v>1897</v>
      </c>
      <c r="G24" s="238" t="s">
        <v>1733</v>
      </c>
      <c r="H24" s="247" t="s">
        <v>1898</v>
      </c>
      <c r="I24" s="163">
        <f>'PNRR - Tecnologie'!Q16</f>
        <v>1944401.301</v>
      </c>
      <c r="J24" s="163">
        <f>I24</f>
        <v>1944401.301</v>
      </c>
      <c r="K24" s="283">
        <v>0</v>
      </c>
      <c r="L24" s="283">
        <f t="shared" ref="L24:L27" si="4">C24-I24</f>
        <v>4616133.4819399994</v>
      </c>
      <c r="M24" s="283">
        <f>'PNRR - Tecnologie'!S16</f>
        <v>954093.48212000006</v>
      </c>
      <c r="N24" s="283">
        <f>M24</f>
        <v>954093.48212000006</v>
      </c>
      <c r="O24" s="283">
        <v>0</v>
      </c>
      <c r="P24" s="240">
        <f t="shared" si="3"/>
        <v>0.44180769998464753</v>
      </c>
    </row>
    <row r="25" spans="1:16" s="166" customFormat="1" x14ac:dyDescent="0.25">
      <c r="A25" s="167" t="s">
        <v>1710</v>
      </c>
      <c r="B25" s="119">
        <v>7864112.75</v>
      </c>
      <c r="C25" s="119">
        <v>7864112.75</v>
      </c>
      <c r="D25" s="119">
        <v>0</v>
      </c>
      <c r="E25" s="119">
        <v>0</v>
      </c>
      <c r="F25" s="245"/>
      <c r="G25" s="238" t="s">
        <v>1733</v>
      </c>
      <c r="H25" s="247" t="s">
        <v>1899</v>
      </c>
      <c r="I25" s="163">
        <v>0</v>
      </c>
      <c r="J25" s="283">
        <v>0</v>
      </c>
      <c r="K25" s="283">
        <v>0</v>
      </c>
      <c r="L25" s="283">
        <f t="shared" si="4"/>
        <v>7864112.75</v>
      </c>
      <c r="M25" s="283">
        <v>0</v>
      </c>
      <c r="N25" s="283"/>
      <c r="O25" s="283"/>
      <c r="P25" s="240" t="s">
        <v>899</v>
      </c>
    </row>
    <row r="26" spans="1:16" ht="51" x14ac:dyDescent="0.25">
      <c r="A26" s="167" t="s">
        <v>1927</v>
      </c>
      <c r="B26" s="119">
        <v>650000</v>
      </c>
      <c r="C26" s="119">
        <v>650000</v>
      </c>
      <c r="D26" s="119">
        <v>650000</v>
      </c>
      <c r="E26" s="119"/>
      <c r="F26" s="238" t="s">
        <v>1911</v>
      </c>
      <c r="G26" s="238" t="s">
        <v>874</v>
      </c>
      <c r="H26" s="248" t="s">
        <v>1708</v>
      </c>
      <c r="I26" s="163">
        <v>24711.75</v>
      </c>
      <c r="J26" s="283">
        <v>24711.75</v>
      </c>
      <c r="K26" s="283">
        <v>0</v>
      </c>
      <c r="L26" s="283">
        <f t="shared" si="4"/>
        <v>625288.25</v>
      </c>
      <c r="M26" s="283">
        <v>30188.25</v>
      </c>
      <c r="N26" s="283">
        <v>30188.25</v>
      </c>
      <c r="O26" s="283">
        <v>0</v>
      </c>
      <c r="P26" s="240">
        <v>8.4461538461538463E-2</v>
      </c>
    </row>
    <row r="27" spans="1:16" ht="29.25" customHeight="1" x14ac:dyDescent="0.25">
      <c r="A27" s="167" t="s">
        <v>1969</v>
      </c>
      <c r="B27" s="119">
        <v>1004000</v>
      </c>
      <c r="C27" s="119">
        <v>1004000</v>
      </c>
      <c r="D27" s="119">
        <v>1004000</v>
      </c>
      <c r="E27" s="119"/>
      <c r="F27" s="238" t="s">
        <v>1970</v>
      </c>
      <c r="G27" s="238" t="s">
        <v>874</v>
      </c>
      <c r="H27" s="248"/>
      <c r="I27" s="163">
        <f>'PSC '!Q24</f>
        <v>682167.61460000009</v>
      </c>
      <c r="J27" s="283">
        <f>I27</f>
        <v>682167.61460000009</v>
      </c>
      <c r="K27" s="283">
        <v>0</v>
      </c>
      <c r="L27" s="283">
        <f t="shared" si="4"/>
        <v>321832.38539999991</v>
      </c>
      <c r="M27" s="283">
        <f>'PSC '!S24</f>
        <v>311828.38429999998</v>
      </c>
      <c r="N27" s="283">
        <f>M27</f>
        <v>311828.38429999998</v>
      </c>
      <c r="O27" s="283">
        <v>0</v>
      </c>
      <c r="P27" s="240">
        <v>1.0021386443227092</v>
      </c>
    </row>
    <row r="28" spans="1:16" x14ac:dyDescent="0.25">
      <c r="A28" s="315" t="s">
        <v>59</v>
      </c>
      <c r="B28" s="307">
        <f>SUM(B2:B27)</f>
        <v>44737323.312536001</v>
      </c>
      <c r="C28" s="307">
        <f>SUM(C2:C27)</f>
        <v>44737323.312536001</v>
      </c>
      <c r="D28" s="307">
        <f t="shared" ref="D28:E28" si="5">SUM(D2:D26)</f>
        <v>21843607.560816001</v>
      </c>
      <c r="E28" s="307">
        <f t="shared" si="5"/>
        <v>14025603.00172</v>
      </c>
      <c r="G28" s="263"/>
      <c r="H28" s="264"/>
      <c r="I28" s="307">
        <f>SUM(I2:I26)</f>
        <v>22693745.231699992</v>
      </c>
      <c r="J28" s="307">
        <f t="shared" ref="J28:O28" si="6">SUM(J2:J26)</f>
        <v>12152394.15808</v>
      </c>
      <c r="K28" s="307">
        <f t="shared" si="6"/>
        <v>10535873.753599999</v>
      </c>
      <c r="L28" s="307">
        <f t="shared" si="6"/>
        <v>21039578.080835998</v>
      </c>
      <c r="M28" s="307">
        <f t="shared" si="6"/>
        <v>3435389.0816423995</v>
      </c>
      <c r="N28" s="307">
        <f t="shared" si="6"/>
        <v>2114612.5751200002</v>
      </c>
      <c r="O28" s="307">
        <f t="shared" si="6"/>
        <v>1286528.9564</v>
      </c>
      <c r="P28" s="241"/>
    </row>
    <row r="29" spans="1:16" x14ac:dyDescent="0.25">
      <c r="G29" s="263"/>
      <c r="H29" s="265"/>
      <c r="P29" s="263"/>
    </row>
    <row r="30" spans="1:16" x14ac:dyDescent="0.25">
      <c r="G30" s="263"/>
      <c r="H30" s="265"/>
      <c r="P30" s="263"/>
    </row>
    <row r="31" spans="1:16" ht="15" customHeight="1" x14ac:dyDescent="0.25">
      <c r="A31" s="432"/>
      <c r="B31" s="432"/>
      <c r="C31" s="432"/>
      <c r="D31" s="432"/>
      <c r="E31" s="432"/>
      <c r="F31" s="432"/>
      <c r="G31" s="432"/>
      <c r="H31" s="432"/>
      <c r="I31" s="432"/>
      <c r="J31" s="432"/>
      <c r="K31" s="432"/>
      <c r="L31" s="432"/>
      <c r="M31" s="432"/>
      <c r="N31" s="432"/>
      <c r="O31" s="432"/>
      <c r="P31" s="432"/>
    </row>
    <row r="32" spans="1:16" x14ac:dyDescent="0.25">
      <c r="G32" s="263"/>
      <c r="H32" s="265"/>
      <c r="P32" s="263"/>
    </row>
    <row r="33" spans="7:15" x14ac:dyDescent="0.25">
      <c r="G33" s="266"/>
      <c r="H33" s="267"/>
      <c r="O33" s="268"/>
    </row>
    <row r="34" spans="7:15" x14ac:dyDescent="0.25">
      <c r="G34" s="269"/>
      <c r="H34" s="249"/>
    </row>
    <row r="35" spans="7:15" x14ac:dyDescent="0.25">
      <c r="G35" s="279"/>
      <c r="H35" s="250"/>
    </row>
    <row r="36" spans="7:15" x14ac:dyDescent="0.25">
      <c r="G36" s="279"/>
      <c r="H36" s="250"/>
      <c r="J36" s="268"/>
    </row>
    <row r="37" spans="7:15" x14ac:dyDescent="0.25">
      <c r="G37" s="266"/>
      <c r="H37" s="267"/>
    </row>
    <row r="38" spans="7:15" x14ac:dyDescent="0.25">
      <c r="G38" s="266"/>
      <c r="H38" s="267"/>
    </row>
  </sheetData>
  <mergeCells count="1">
    <mergeCell ref="A31:P31"/>
  </mergeCells>
  <pageMargins left="0" right="0" top="0.74803149606299213" bottom="0.74803149606299213" header="0.31496062992125984" footer="0.31496062992125984"/>
  <pageSetup paperSize="8" scale="63" orientation="landscape" r:id="rId1"/>
  <headerFooter>
    <oddHeader>&amp;C&amp;A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6"/>
  <sheetViews>
    <sheetView topLeftCell="K1" zoomScale="80" zoomScaleNormal="80" workbookViewId="0">
      <pane ySplit="1" topLeftCell="A8" activePane="bottomLeft" state="frozen"/>
      <selection pane="bottomLeft" activeCell="AA13" sqref="AA13"/>
    </sheetView>
  </sheetViews>
  <sheetFormatPr defaultColWidth="9.140625" defaultRowHeight="12" x14ac:dyDescent="0.25"/>
  <cols>
    <col min="1" max="1" width="4" style="13" bestFit="1" customWidth="1"/>
    <col min="2" max="2" width="6.28515625" style="13" customWidth="1"/>
    <col min="3" max="3" width="11.140625" style="12" bestFit="1" customWidth="1"/>
    <col min="4" max="4" width="18.28515625" style="12" bestFit="1" customWidth="1"/>
    <col min="5" max="5" width="29.28515625" style="12" customWidth="1"/>
    <col min="6" max="6" width="4.140625" style="13" bestFit="1" customWidth="1"/>
    <col min="7" max="7" width="12.140625" style="14" customWidth="1"/>
    <col min="8" max="9" width="14.7109375" style="14" bestFit="1" customWidth="1"/>
    <col min="10" max="10" width="8.42578125" style="14" bestFit="1" customWidth="1"/>
    <col min="11" max="13" width="14.7109375" style="14" customWidth="1"/>
    <col min="14" max="14" width="4" style="13" customWidth="1"/>
    <col min="15" max="15" width="12" style="13" customWidth="1"/>
    <col min="16" max="16" width="11.85546875" style="13" bestFit="1" customWidth="1"/>
    <col min="17" max="17" width="17.42578125" style="13" bestFit="1" customWidth="1"/>
    <col min="18" max="18" width="13.140625" style="13" bestFit="1" customWidth="1"/>
    <col min="19" max="19" width="17.85546875" style="13" bestFit="1" customWidth="1"/>
    <col min="20" max="20" width="16.85546875" style="55" customWidth="1"/>
    <col min="21" max="21" width="13.85546875" style="13" customWidth="1"/>
    <col min="22" max="22" width="12.5703125" style="13" customWidth="1"/>
    <col min="23" max="23" width="11.5703125" style="13" customWidth="1"/>
    <col min="24" max="24" width="12" style="13" customWidth="1"/>
    <col min="25" max="25" width="20.42578125" style="13" customWidth="1"/>
    <col min="26" max="26" width="14" style="13" customWidth="1"/>
    <col min="27" max="27" width="11.7109375" style="13" customWidth="1"/>
    <col min="28" max="28" width="39.85546875" style="13" bestFit="1" customWidth="1"/>
    <col min="29" max="29" width="11.85546875" style="13" customWidth="1"/>
    <col min="30" max="30" width="11.5703125" style="13" customWidth="1"/>
    <col min="31" max="31" width="46.85546875" style="13" customWidth="1"/>
    <col min="32" max="32" width="26.28515625" style="13" bestFit="1" customWidth="1"/>
    <col min="33" max="33" width="21" style="13" bestFit="1" customWidth="1"/>
    <col min="34" max="34" width="24.7109375" style="13" bestFit="1" customWidth="1"/>
    <col min="35" max="35" width="9.140625" style="13"/>
    <col min="36" max="16384" width="9.140625" style="12"/>
  </cols>
  <sheetData>
    <row r="1" spans="1:35" s="170" customFormat="1" ht="42.6" customHeight="1" x14ac:dyDescent="0.25">
      <c r="A1" s="169" t="s">
        <v>0</v>
      </c>
      <c r="B1" s="64" t="s">
        <v>1</v>
      </c>
      <c r="C1" s="64" t="s">
        <v>2</v>
      </c>
      <c r="D1" s="64" t="s">
        <v>3</v>
      </c>
      <c r="E1" s="64" t="s">
        <v>4</v>
      </c>
      <c r="F1" s="64" t="s">
        <v>5</v>
      </c>
      <c r="G1" s="18" t="s">
        <v>186</v>
      </c>
      <c r="H1" s="18" t="s">
        <v>92</v>
      </c>
      <c r="I1" s="18" t="s">
        <v>61</v>
      </c>
      <c r="J1" s="64" t="s">
        <v>5</v>
      </c>
      <c r="K1" s="18" t="s">
        <v>105</v>
      </c>
      <c r="L1" s="18" t="s">
        <v>92</v>
      </c>
      <c r="M1" s="18" t="s">
        <v>61</v>
      </c>
      <c r="N1" s="64" t="s">
        <v>5</v>
      </c>
      <c r="O1" s="18" t="s">
        <v>902</v>
      </c>
      <c r="P1" s="18" t="s">
        <v>92</v>
      </c>
      <c r="Q1" s="18" t="s">
        <v>61</v>
      </c>
      <c r="R1" s="18" t="s">
        <v>313</v>
      </c>
      <c r="S1" s="18" t="s">
        <v>93</v>
      </c>
      <c r="T1" s="47" t="s">
        <v>267</v>
      </c>
      <c r="U1" s="65" t="s">
        <v>106</v>
      </c>
      <c r="V1" s="65" t="s">
        <v>107</v>
      </c>
      <c r="W1" s="65" t="s">
        <v>108</v>
      </c>
      <c r="X1" s="65" t="s">
        <v>109</v>
      </c>
      <c r="Y1" s="63" t="s">
        <v>110</v>
      </c>
      <c r="Z1" s="63" t="s">
        <v>111</v>
      </c>
      <c r="AA1" s="63" t="s">
        <v>112</v>
      </c>
      <c r="AB1" s="63" t="s">
        <v>113</v>
      </c>
      <c r="AC1" s="64" t="s">
        <v>114</v>
      </c>
      <c r="AD1" s="63" t="s">
        <v>115</v>
      </c>
      <c r="AE1" s="63" t="s">
        <v>116</v>
      </c>
      <c r="AF1" s="63" t="s">
        <v>117</v>
      </c>
      <c r="AG1" s="64" t="s">
        <v>118</v>
      </c>
      <c r="AH1" s="64" t="s">
        <v>1544</v>
      </c>
      <c r="AI1" s="64" t="s">
        <v>1540</v>
      </c>
    </row>
    <row r="2" spans="1:35" ht="48" x14ac:dyDescent="0.25">
      <c r="A2" s="96">
        <v>1</v>
      </c>
      <c r="B2" s="91" t="s">
        <v>8</v>
      </c>
      <c r="C2" s="97" t="s">
        <v>907</v>
      </c>
      <c r="D2" s="97" t="s">
        <v>907</v>
      </c>
      <c r="E2" s="225" t="s">
        <v>37</v>
      </c>
      <c r="F2" s="129">
        <v>2</v>
      </c>
      <c r="G2" s="226">
        <v>30000</v>
      </c>
      <c r="H2" s="210">
        <f>F2*G2</f>
        <v>60000</v>
      </c>
      <c r="I2" s="93">
        <f>H2*1.1</f>
        <v>66000</v>
      </c>
      <c r="J2" s="132">
        <v>2</v>
      </c>
      <c r="K2" s="93">
        <f>5338750/225</f>
        <v>23727.777777777777</v>
      </c>
      <c r="L2" s="93">
        <f t="shared" ref="L2" si="0">J2*K2</f>
        <v>47455.555555555555</v>
      </c>
      <c r="M2" s="93">
        <f t="shared" ref="M2" si="1">L2*1.22</f>
        <v>57895.777777777774</v>
      </c>
      <c r="N2" s="132">
        <v>2</v>
      </c>
      <c r="O2" s="93">
        <f>14120*0.99</f>
        <v>13978.8</v>
      </c>
      <c r="P2" s="93">
        <f t="shared" ref="P2" si="2">N2*O2</f>
        <v>27957.599999999999</v>
      </c>
      <c r="Q2" s="93">
        <f t="shared" ref="Q2" si="3">P2*1.22</f>
        <v>34108.271999999997</v>
      </c>
      <c r="R2" s="85">
        <v>2020</v>
      </c>
      <c r="S2" s="220">
        <f t="shared" ref="S2" si="4">I2-Q2</f>
        <v>31891.728000000003</v>
      </c>
      <c r="T2" s="106">
        <f t="shared" ref="T2" si="5">1-Q2/M2</f>
        <v>0.41086771247951304</v>
      </c>
      <c r="U2" s="108">
        <v>43446</v>
      </c>
      <c r="V2" s="108" t="s">
        <v>1233</v>
      </c>
      <c r="W2" s="108">
        <v>43900</v>
      </c>
      <c r="X2" s="108">
        <v>43959</v>
      </c>
      <c r="Y2" s="86" t="s">
        <v>1234</v>
      </c>
      <c r="Z2" s="91" t="s">
        <v>1616</v>
      </c>
      <c r="AA2" s="86" t="s">
        <v>1236</v>
      </c>
      <c r="AB2" s="86" t="s">
        <v>1237</v>
      </c>
      <c r="AC2" s="101">
        <v>44081</v>
      </c>
      <c r="AD2" s="101">
        <v>44084</v>
      </c>
      <c r="AE2" s="91" t="s">
        <v>1277</v>
      </c>
      <c r="AF2" s="85" t="s">
        <v>1380</v>
      </c>
      <c r="AG2" s="109" t="s">
        <v>1287</v>
      </c>
      <c r="AH2" s="219" t="s">
        <v>8</v>
      </c>
      <c r="AI2" s="85" t="s">
        <v>1541</v>
      </c>
    </row>
    <row r="3" spans="1:35" ht="24" x14ac:dyDescent="0.25">
      <c r="A3" s="4">
        <v>2</v>
      </c>
      <c r="B3" s="6" t="s">
        <v>8</v>
      </c>
      <c r="C3" s="9" t="s">
        <v>907</v>
      </c>
      <c r="D3" s="9" t="s">
        <v>907</v>
      </c>
      <c r="E3" s="5" t="s">
        <v>908</v>
      </c>
      <c r="F3" s="6">
        <v>4</v>
      </c>
      <c r="G3" s="7">
        <v>1500</v>
      </c>
      <c r="H3" s="89">
        <f t="shared" ref="H3" si="6">F3*G3</f>
        <v>6000</v>
      </c>
      <c r="I3" s="89">
        <f>H3*1.22</f>
        <v>7320</v>
      </c>
      <c r="J3" s="89"/>
      <c r="K3" s="89"/>
      <c r="L3" s="89"/>
      <c r="M3" s="89"/>
      <c r="N3" s="6"/>
      <c r="O3" s="7"/>
      <c r="P3" s="7">
        <f>N3*O3</f>
        <v>0</v>
      </c>
      <c r="Q3" s="7">
        <f t="shared" ref="Q3:Q12" si="7">P3*1.22</f>
        <v>0</v>
      </c>
      <c r="R3" s="6"/>
      <c r="S3" s="7">
        <f t="shared" ref="S3:S12" si="8">M3-Q3</f>
        <v>0</v>
      </c>
      <c r="T3" s="54" t="e">
        <f t="shared" ref="T3:T13" si="9">1-Q3/M3</f>
        <v>#DIV/0!</v>
      </c>
      <c r="U3" s="6"/>
      <c r="V3" s="6"/>
      <c r="W3" s="6"/>
      <c r="X3" s="6"/>
      <c r="Y3" s="6"/>
      <c r="Z3" s="6"/>
      <c r="AA3" s="6"/>
      <c r="AB3" s="6"/>
      <c r="AC3" s="6"/>
      <c r="AD3" s="6"/>
      <c r="AE3" s="6"/>
      <c r="AF3" s="6"/>
      <c r="AG3" s="6"/>
      <c r="AH3" s="120" t="s">
        <v>8</v>
      </c>
      <c r="AI3" s="6" t="s">
        <v>1547</v>
      </c>
    </row>
    <row r="4" spans="1:35" ht="24" x14ac:dyDescent="0.25">
      <c r="A4" s="4">
        <v>3</v>
      </c>
      <c r="B4" s="6" t="s">
        <v>8</v>
      </c>
      <c r="C4" s="9" t="s">
        <v>907</v>
      </c>
      <c r="D4" s="9" t="s">
        <v>907</v>
      </c>
      <c r="E4" s="173" t="s">
        <v>909</v>
      </c>
      <c r="F4" s="69">
        <v>10</v>
      </c>
      <c r="G4" s="172">
        <v>646.55700000000002</v>
      </c>
      <c r="H4" s="89">
        <f>F4*G4</f>
        <v>6465.57</v>
      </c>
      <c r="I4" s="89">
        <f t="shared" ref="I4:I5" si="10">H4*1.22</f>
        <v>7887.9953999999998</v>
      </c>
      <c r="J4" s="2"/>
      <c r="K4" s="2"/>
      <c r="L4" s="2"/>
      <c r="M4" s="2"/>
      <c r="N4" s="6"/>
      <c r="O4" s="7"/>
      <c r="P4" s="7">
        <f t="shared" ref="P4:P12" si="11">N4*O4</f>
        <v>0</v>
      </c>
      <c r="Q4" s="7">
        <f t="shared" si="7"/>
        <v>0</v>
      </c>
      <c r="R4" s="6"/>
      <c r="S4" s="7">
        <f t="shared" si="8"/>
        <v>0</v>
      </c>
      <c r="T4" s="54" t="e">
        <f t="shared" si="9"/>
        <v>#DIV/0!</v>
      </c>
      <c r="U4" s="6"/>
      <c r="V4" s="6"/>
      <c r="W4" s="6"/>
      <c r="X4" s="6"/>
      <c r="Y4" s="6"/>
      <c r="Z4" s="6"/>
      <c r="AA4" s="6"/>
      <c r="AB4" s="6"/>
      <c r="AC4" s="6"/>
      <c r="AD4" s="6"/>
      <c r="AE4" s="6"/>
      <c r="AF4" s="6"/>
      <c r="AG4" s="6"/>
      <c r="AH4" s="120" t="s">
        <v>8</v>
      </c>
      <c r="AI4" s="6" t="s">
        <v>1547</v>
      </c>
    </row>
    <row r="5" spans="1:35" ht="24" x14ac:dyDescent="0.25">
      <c r="A5" s="4">
        <v>4</v>
      </c>
      <c r="B5" s="6" t="s">
        <v>8</v>
      </c>
      <c r="C5" s="9" t="s">
        <v>907</v>
      </c>
      <c r="D5" s="9" t="s">
        <v>907</v>
      </c>
      <c r="E5" s="5" t="s">
        <v>910</v>
      </c>
      <c r="F5" s="6">
        <v>2</v>
      </c>
      <c r="G5" s="7">
        <v>2500</v>
      </c>
      <c r="H5" s="89">
        <f>F5*G5</f>
        <v>5000</v>
      </c>
      <c r="I5" s="89">
        <f t="shared" si="10"/>
        <v>6100</v>
      </c>
      <c r="J5" s="7"/>
      <c r="K5" s="7"/>
      <c r="L5" s="7"/>
      <c r="M5" s="7"/>
      <c r="N5" s="6"/>
      <c r="O5" s="7"/>
      <c r="P5" s="7">
        <f t="shared" si="11"/>
        <v>0</v>
      </c>
      <c r="Q5" s="7">
        <f t="shared" si="7"/>
        <v>0</v>
      </c>
      <c r="R5" s="6"/>
      <c r="S5" s="7">
        <f t="shared" si="8"/>
        <v>0</v>
      </c>
      <c r="T5" s="54" t="e">
        <f t="shared" si="9"/>
        <v>#DIV/0!</v>
      </c>
      <c r="U5" s="6"/>
      <c r="V5" s="6"/>
      <c r="W5" s="6"/>
      <c r="X5" s="6"/>
      <c r="Y5" s="6"/>
      <c r="Z5" s="6"/>
      <c r="AA5" s="6"/>
      <c r="AB5" s="6"/>
      <c r="AC5" s="6"/>
      <c r="AD5" s="6"/>
      <c r="AE5" s="6"/>
      <c r="AF5" s="6"/>
      <c r="AG5" s="6"/>
      <c r="AH5" s="120" t="s">
        <v>8</v>
      </c>
      <c r="AI5" s="6" t="s">
        <v>1547</v>
      </c>
    </row>
    <row r="6" spans="1:35" ht="24" x14ac:dyDescent="0.25">
      <c r="A6" s="4">
        <v>5</v>
      </c>
      <c r="B6" s="6" t="s">
        <v>8</v>
      </c>
      <c r="C6" s="9" t="s">
        <v>907</v>
      </c>
      <c r="D6" s="9" t="s">
        <v>907</v>
      </c>
      <c r="E6" s="5" t="s">
        <v>981</v>
      </c>
      <c r="F6" s="6">
        <v>2</v>
      </c>
      <c r="G6" s="7">
        <v>1500</v>
      </c>
      <c r="H6" s="89">
        <f t="shared" ref="H6:H9" si="12">F6*G6</f>
        <v>3000</v>
      </c>
      <c r="I6" s="89">
        <f t="shared" ref="I6:I9" si="13">H6*1.22</f>
        <v>3660</v>
      </c>
      <c r="J6" s="7"/>
      <c r="K6" s="7"/>
      <c r="L6" s="7"/>
      <c r="M6" s="7"/>
      <c r="N6" s="6"/>
      <c r="O6" s="7"/>
      <c r="P6" s="7"/>
      <c r="Q6" s="7"/>
      <c r="R6" s="6"/>
      <c r="S6" s="7"/>
      <c r="T6" s="54"/>
      <c r="U6" s="6"/>
      <c r="V6" s="6"/>
      <c r="W6" s="6"/>
      <c r="X6" s="6"/>
      <c r="Y6" s="6"/>
      <c r="Z6" s="6"/>
      <c r="AA6" s="6"/>
      <c r="AB6" s="6"/>
      <c r="AC6" s="6"/>
      <c r="AD6" s="6"/>
      <c r="AE6" s="6"/>
      <c r="AF6" s="6"/>
      <c r="AG6" s="6"/>
      <c r="AH6" s="120" t="s">
        <v>8</v>
      </c>
      <c r="AI6" s="6" t="s">
        <v>1547</v>
      </c>
    </row>
    <row r="7" spans="1:35" ht="24" x14ac:dyDescent="0.25">
      <c r="A7" s="4">
        <v>6</v>
      </c>
      <c r="B7" s="6" t="s">
        <v>8</v>
      </c>
      <c r="C7" s="9" t="s">
        <v>907</v>
      </c>
      <c r="D7" s="9" t="s">
        <v>907</v>
      </c>
      <c r="E7" s="5" t="s">
        <v>982</v>
      </c>
      <c r="F7" s="6">
        <v>2</v>
      </c>
      <c r="G7" s="7">
        <v>1000</v>
      </c>
      <c r="H7" s="89">
        <f t="shared" si="12"/>
        <v>2000</v>
      </c>
      <c r="I7" s="89">
        <f t="shared" si="13"/>
        <v>2440</v>
      </c>
      <c r="J7" s="7"/>
      <c r="K7" s="7"/>
      <c r="L7" s="7"/>
      <c r="M7" s="7"/>
      <c r="N7" s="6"/>
      <c r="O7" s="7"/>
      <c r="P7" s="7"/>
      <c r="Q7" s="7"/>
      <c r="R7" s="6"/>
      <c r="S7" s="7"/>
      <c r="T7" s="54"/>
      <c r="U7" s="6"/>
      <c r="V7" s="6"/>
      <c r="W7" s="6"/>
      <c r="X7" s="6"/>
      <c r="Y7" s="6"/>
      <c r="Z7" s="6"/>
      <c r="AA7" s="6"/>
      <c r="AB7" s="6"/>
      <c r="AC7" s="6"/>
      <c r="AD7" s="6"/>
      <c r="AE7" s="6"/>
      <c r="AF7" s="6"/>
      <c r="AG7" s="6"/>
      <c r="AH7" s="120" t="s">
        <v>8</v>
      </c>
      <c r="AI7" s="6" t="s">
        <v>1547</v>
      </c>
    </row>
    <row r="8" spans="1:35" ht="24" x14ac:dyDescent="0.25">
      <c r="A8" s="4">
        <v>7</v>
      </c>
      <c r="B8" s="6" t="s">
        <v>8</v>
      </c>
      <c r="C8" s="9" t="s">
        <v>907</v>
      </c>
      <c r="D8" s="9" t="s">
        <v>907</v>
      </c>
      <c r="E8" s="5" t="s">
        <v>983</v>
      </c>
      <c r="F8" s="6">
        <v>2</v>
      </c>
      <c r="G8" s="7">
        <v>800</v>
      </c>
      <c r="H8" s="89">
        <f t="shared" si="12"/>
        <v>1600</v>
      </c>
      <c r="I8" s="89">
        <f t="shared" si="13"/>
        <v>1952</v>
      </c>
      <c r="J8" s="7"/>
      <c r="K8" s="7"/>
      <c r="L8" s="7"/>
      <c r="M8" s="7"/>
      <c r="N8" s="6"/>
      <c r="O8" s="7"/>
      <c r="P8" s="7"/>
      <c r="Q8" s="7"/>
      <c r="R8" s="6"/>
      <c r="S8" s="7"/>
      <c r="T8" s="54"/>
      <c r="U8" s="6"/>
      <c r="V8" s="6"/>
      <c r="W8" s="6"/>
      <c r="X8" s="6"/>
      <c r="Y8" s="6"/>
      <c r="Z8" s="6"/>
      <c r="AA8" s="6"/>
      <c r="AB8" s="6"/>
      <c r="AC8" s="6"/>
      <c r="AD8" s="6"/>
      <c r="AE8" s="6"/>
      <c r="AF8" s="6"/>
      <c r="AG8" s="6"/>
      <c r="AH8" s="120" t="s">
        <v>8</v>
      </c>
      <c r="AI8" s="6" t="s">
        <v>1547</v>
      </c>
    </row>
    <row r="9" spans="1:35" ht="24" x14ac:dyDescent="0.25">
      <c r="A9" s="4">
        <v>8</v>
      </c>
      <c r="B9" s="6" t="s">
        <v>8</v>
      </c>
      <c r="C9" s="9" t="s">
        <v>907</v>
      </c>
      <c r="D9" s="9" t="s">
        <v>907</v>
      </c>
      <c r="E9" s="5" t="s">
        <v>984</v>
      </c>
      <c r="F9" s="6">
        <v>1</v>
      </c>
      <c r="G9" s="7">
        <v>2000</v>
      </c>
      <c r="H9" s="89">
        <f t="shared" si="12"/>
        <v>2000</v>
      </c>
      <c r="I9" s="89">
        <f t="shared" si="13"/>
        <v>2440</v>
      </c>
      <c r="J9" s="7"/>
      <c r="K9" s="7"/>
      <c r="L9" s="7"/>
      <c r="M9" s="7"/>
      <c r="N9" s="6"/>
      <c r="O9" s="7"/>
      <c r="P9" s="7"/>
      <c r="Q9" s="7"/>
      <c r="R9" s="6"/>
      <c r="S9" s="7"/>
      <c r="T9" s="54"/>
      <c r="U9" s="6"/>
      <c r="V9" s="6"/>
      <c r="W9" s="6"/>
      <c r="X9" s="6"/>
      <c r="Y9" s="6"/>
      <c r="Z9" s="6"/>
      <c r="AA9" s="6"/>
      <c r="AB9" s="6"/>
      <c r="AC9" s="6"/>
      <c r="AD9" s="6"/>
      <c r="AE9" s="6"/>
      <c r="AF9" s="6"/>
      <c r="AG9" s="6"/>
      <c r="AH9" s="120" t="s">
        <v>8</v>
      </c>
      <c r="AI9" s="6" t="s">
        <v>1547</v>
      </c>
    </row>
    <row r="10" spans="1:35" ht="24" x14ac:dyDescent="0.25">
      <c r="A10" s="4">
        <v>9</v>
      </c>
      <c r="B10" s="6" t="s">
        <v>8</v>
      </c>
      <c r="C10" s="9" t="s">
        <v>907</v>
      </c>
      <c r="D10" s="9" t="s">
        <v>907</v>
      </c>
      <c r="E10" s="173" t="s">
        <v>911</v>
      </c>
      <c r="F10" s="69">
        <v>2</v>
      </c>
      <c r="G10" s="172">
        <v>14754.1</v>
      </c>
      <c r="H10" s="89">
        <f>F10*G10</f>
        <v>29508.2</v>
      </c>
      <c r="I10" s="89">
        <f>H10*1.22</f>
        <v>36000.004000000001</v>
      </c>
      <c r="J10" s="7"/>
      <c r="K10" s="7"/>
      <c r="L10" s="7"/>
      <c r="M10" s="7"/>
      <c r="N10" s="6"/>
      <c r="O10" s="7"/>
      <c r="P10" s="7">
        <f t="shared" si="11"/>
        <v>0</v>
      </c>
      <c r="Q10" s="7">
        <f t="shared" si="7"/>
        <v>0</v>
      </c>
      <c r="R10" s="6"/>
      <c r="S10" s="7">
        <f t="shared" si="8"/>
        <v>0</v>
      </c>
      <c r="T10" s="54" t="e">
        <f t="shared" si="9"/>
        <v>#DIV/0!</v>
      </c>
      <c r="U10" s="6"/>
      <c r="V10" s="6"/>
      <c r="W10" s="6"/>
      <c r="X10" s="6"/>
      <c r="Y10" s="6"/>
      <c r="Z10" s="6"/>
      <c r="AA10" s="6"/>
      <c r="AB10" s="6"/>
      <c r="AC10" s="6"/>
      <c r="AD10" s="6"/>
      <c r="AE10" s="6"/>
      <c r="AF10" s="6"/>
      <c r="AG10" s="6"/>
      <c r="AH10" s="120" t="s">
        <v>8</v>
      </c>
      <c r="AI10" s="6" t="s">
        <v>1547</v>
      </c>
    </row>
    <row r="11" spans="1:35" ht="24" x14ac:dyDescent="0.25">
      <c r="A11" s="4">
        <v>10</v>
      </c>
      <c r="B11" s="6" t="s">
        <v>8</v>
      </c>
      <c r="C11" s="9" t="s">
        <v>907</v>
      </c>
      <c r="D11" s="9" t="s">
        <v>907</v>
      </c>
      <c r="E11" s="5" t="s">
        <v>912</v>
      </c>
      <c r="F11" s="6">
        <v>2</v>
      </c>
      <c r="G11" s="7">
        <v>3073.77</v>
      </c>
      <c r="H11" s="89">
        <f>F11*G11</f>
        <v>6147.54</v>
      </c>
      <c r="I11" s="7">
        <f>H11*1.22</f>
        <v>7499.9987999999994</v>
      </c>
      <c r="J11" s="7"/>
      <c r="K11" s="7"/>
      <c r="L11" s="7"/>
      <c r="M11" s="7"/>
      <c r="N11" s="6"/>
      <c r="O11" s="7"/>
      <c r="P11" s="7">
        <f t="shared" si="11"/>
        <v>0</v>
      </c>
      <c r="Q11" s="7">
        <f t="shared" si="7"/>
        <v>0</v>
      </c>
      <c r="R11" s="6"/>
      <c r="S11" s="7">
        <f t="shared" si="8"/>
        <v>0</v>
      </c>
      <c r="T11" s="54" t="e">
        <f t="shared" si="9"/>
        <v>#DIV/0!</v>
      </c>
      <c r="U11" s="6"/>
      <c r="V11" s="6"/>
      <c r="W11" s="6"/>
      <c r="X11" s="6"/>
      <c r="Y11" s="6"/>
      <c r="Z11" s="6"/>
      <c r="AA11" s="6"/>
      <c r="AB11" s="6"/>
      <c r="AC11" s="6"/>
      <c r="AD11" s="6"/>
      <c r="AE11" s="6"/>
      <c r="AF11" s="6"/>
      <c r="AG11" s="6"/>
      <c r="AH11" s="120" t="s">
        <v>8</v>
      </c>
      <c r="AI11" s="6" t="s">
        <v>1547</v>
      </c>
    </row>
    <row r="12" spans="1:35" ht="24" x14ac:dyDescent="0.25">
      <c r="A12" s="4">
        <v>11</v>
      </c>
      <c r="B12" s="6" t="s">
        <v>8</v>
      </c>
      <c r="C12" s="9" t="s">
        <v>907</v>
      </c>
      <c r="D12" s="9" t="s">
        <v>907</v>
      </c>
      <c r="E12" s="9" t="s">
        <v>913</v>
      </c>
      <c r="F12" s="6">
        <v>1</v>
      </c>
      <c r="G12" s="7">
        <v>10000</v>
      </c>
      <c r="H12" s="7">
        <f>F12*G12</f>
        <v>10000</v>
      </c>
      <c r="I12" s="89">
        <f>H12*1.22</f>
        <v>12200</v>
      </c>
      <c r="J12" s="7"/>
      <c r="K12" s="7"/>
      <c r="L12" s="7"/>
      <c r="M12" s="7"/>
      <c r="N12" s="6"/>
      <c r="O12" s="7"/>
      <c r="P12" s="7">
        <f t="shared" si="11"/>
        <v>0</v>
      </c>
      <c r="Q12" s="7">
        <f t="shared" si="7"/>
        <v>0</v>
      </c>
      <c r="R12" s="6"/>
      <c r="S12" s="7">
        <f t="shared" si="8"/>
        <v>0</v>
      </c>
      <c r="T12" s="54" t="e">
        <f t="shared" si="9"/>
        <v>#DIV/0!</v>
      </c>
      <c r="U12" s="6"/>
      <c r="V12" s="6"/>
      <c r="W12" s="6"/>
      <c r="X12" s="6"/>
      <c r="Y12" s="6"/>
      <c r="Z12" s="6"/>
      <c r="AA12" s="6"/>
      <c r="AB12" s="6"/>
      <c r="AC12" s="6"/>
      <c r="AD12" s="6"/>
      <c r="AE12" s="6"/>
      <c r="AF12" s="6"/>
      <c r="AG12" s="6"/>
      <c r="AH12" s="120" t="s">
        <v>8</v>
      </c>
      <c r="AI12" s="6" t="s">
        <v>1547</v>
      </c>
    </row>
    <row r="13" spans="1:35" ht="314.45" customHeight="1" x14ac:dyDescent="0.2">
      <c r="A13" s="4">
        <v>12</v>
      </c>
      <c r="B13" s="6" t="s">
        <v>8</v>
      </c>
      <c r="C13" s="9" t="s">
        <v>907</v>
      </c>
      <c r="D13" s="9" t="s">
        <v>907</v>
      </c>
      <c r="E13" s="5" t="s">
        <v>914</v>
      </c>
      <c r="F13" s="6">
        <v>2</v>
      </c>
      <c r="G13" s="7">
        <v>12295.082</v>
      </c>
      <c r="H13" s="89">
        <f t="shared" ref="H13" si="14">F13*G13</f>
        <v>24590.164000000001</v>
      </c>
      <c r="I13" s="89">
        <f>H13*1.22</f>
        <v>30000.000080000002</v>
      </c>
      <c r="J13" s="6">
        <v>2</v>
      </c>
      <c r="K13" s="7">
        <v>12295.082</v>
      </c>
      <c r="L13" s="89">
        <f t="shared" ref="L13" si="15">J13*K13</f>
        <v>24590.164000000001</v>
      </c>
      <c r="M13" s="89">
        <f>L13*1.22</f>
        <v>30000.000080000002</v>
      </c>
      <c r="N13" s="6">
        <v>2</v>
      </c>
      <c r="O13" s="7">
        <f>P13/N13</f>
        <v>8199.6557377049176</v>
      </c>
      <c r="P13" s="7">
        <f>Q13/1.22</f>
        <v>16399.311475409835</v>
      </c>
      <c r="Q13" s="7">
        <v>20007.16</v>
      </c>
      <c r="R13" s="6">
        <v>2018</v>
      </c>
      <c r="S13" s="154">
        <f t="shared" ref="S13" si="16">I13-Q13</f>
        <v>9992.8400800000018</v>
      </c>
      <c r="T13" s="54">
        <f t="shared" si="9"/>
        <v>0.33309466844508095</v>
      </c>
      <c r="U13" s="20">
        <v>42948</v>
      </c>
      <c r="V13" s="20">
        <v>43025</v>
      </c>
      <c r="W13" s="20">
        <v>43166</v>
      </c>
      <c r="X13" s="20">
        <v>43294</v>
      </c>
      <c r="Y13" s="6"/>
      <c r="Z13" s="6" t="s">
        <v>959</v>
      </c>
      <c r="AA13" s="6" t="s">
        <v>958</v>
      </c>
      <c r="AB13" s="6" t="s">
        <v>956</v>
      </c>
      <c r="AC13" s="6" t="s">
        <v>1082</v>
      </c>
      <c r="AD13" s="6" t="s">
        <v>1082</v>
      </c>
      <c r="AE13" s="254" t="s">
        <v>2027</v>
      </c>
      <c r="AF13" s="6"/>
      <c r="AG13" s="280" t="s">
        <v>2028</v>
      </c>
      <c r="AH13" s="120" t="s">
        <v>8</v>
      </c>
      <c r="AI13" s="6" t="s">
        <v>1541</v>
      </c>
    </row>
    <row r="14" spans="1:35" x14ac:dyDescent="0.25">
      <c r="A14" s="454" t="s">
        <v>59</v>
      </c>
      <c r="B14" s="455"/>
      <c r="C14" s="454"/>
      <c r="D14" s="454"/>
      <c r="E14" s="454"/>
      <c r="F14" s="454"/>
      <c r="G14" s="454"/>
      <c r="H14" s="454"/>
      <c r="I14" s="37">
        <f>SUM(I2:I13)</f>
        <v>183499.99828</v>
      </c>
      <c r="N14" s="181"/>
      <c r="O14" s="181"/>
      <c r="P14" s="181"/>
      <c r="Q14" s="2">
        <f>SUM(Q2:Q13)</f>
        <v>54115.432000000001</v>
      </c>
      <c r="R14" s="181"/>
      <c r="S14" s="2">
        <f>SUM(S2:S13)</f>
        <v>41884.568080000005</v>
      </c>
    </row>
    <row r="15" spans="1:35" ht="11.65" x14ac:dyDescent="0.25">
      <c r="Q15" s="67"/>
    </row>
    <row r="16" spans="1:35" ht="11.65" x14ac:dyDescent="0.25">
      <c r="Q16" s="14"/>
      <c r="S16" s="14"/>
    </row>
    <row r="18" spans="1:9" x14ac:dyDescent="0.25">
      <c r="A18" s="4">
        <v>1</v>
      </c>
      <c r="B18" s="6" t="s">
        <v>8</v>
      </c>
      <c r="C18" s="9" t="s">
        <v>907</v>
      </c>
      <c r="D18" s="9" t="s">
        <v>907</v>
      </c>
      <c r="E18" s="173" t="s">
        <v>54</v>
      </c>
      <c r="F18" s="69">
        <v>2</v>
      </c>
      <c r="G18" s="172">
        <v>30000</v>
      </c>
      <c r="H18" s="89">
        <f>F18*G18</f>
        <v>60000</v>
      </c>
      <c r="I18" s="7">
        <f>H18*1.1</f>
        <v>66000</v>
      </c>
    </row>
    <row r="19" spans="1:9" x14ac:dyDescent="0.25">
      <c r="A19" s="4">
        <v>2</v>
      </c>
      <c r="B19" s="6" t="s">
        <v>8</v>
      </c>
      <c r="C19" s="9" t="s">
        <v>907</v>
      </c>
      <c r="D19" s="9" t="s">
        <v>907</v>
      </c>
      <c r="E19" s="5" t="s">
        <v>908</v>
      </c>
      <c r="F19" s="6">
        <v>4</v>
      </c>
      <c r="G19" s="7">
        <v>1500</v>
      </c>
      <c r="H19" s="89">
        <f t="shared" ref="H19" si="17">F19*G19</f>
        <v>6000</v>
      </c>
      <c r="I19" s="89">
        <f>H19*1.22</f>
        <v>7320</v>
      </c>
    </row>
    <row r="20" spans="1:9" x14ac:dyDescent="0.25">
      <c r="A20" s="4">
        <v>3</v>
      </c>
      <c r="B20" s="6" t="s">
        <v>8</v>
      </c>
      <c r="C20" s="9" t="s">
        <v>907</v>
      </c>
      <c r="D20" s="9" t="s">
        <v>907</v>
      </c>
      <c r="E20" s="173" t="s">
        <v>909</v>
      </c>
      <c r="F20" s="69">
        <v>10</v>
      </c>
      <c r="G20" s="172">
        <v>1000</v>
      </c>
      <c r="H20" s="89">
        <f>F20*G20</f>
        <v>10000</v>
      </c>
      <c r="I20" s="89">
        <f t="shared" ref="I20:I21" si="18">H20*1.22</f>
        <v>12200</v>
      </c>
    </row>
    <row r="21" spans="1:9" x14ac:dyDescent="0.25">
      <c r="A21" s="4">
        <v>4</v>
      </c>
      <c r="B21" s="6" t="s">
        <v>8</v>
      </c>
      <c r="C21" s="9" t="s">
        <v>907</v>
      </c>
      <c r="D21" s="9" t="s">
        <v>907</v>
      </c>
      <c r="E21" s="12" t="s">
        <v>910</v>
      </c>
      <c r="F21" s="13">
        <v>4</v>
      </c>
      <c r="G21" s="14">
        <v>2516.3919999999998</v>
      </c>
      <c r="H21" s="89">
        <f>F21*G21</f>
        <v>10065.567999999999</v>
      </c>
      <c r="I21" s="89">
        <f t="shared" si="18"/>
        <v>12279.99296</v>
      </c>
    </row>
    <row r="22" spans="1:9" x14ac:dyDescent="0.25">
      <c r="A22" s="4">
        <v>5</v>
      </c>
      <c r="B22" s="6" t="s">
        <v>8</v>
      </c>
      <c r="C22" s="9" t="s">
        <v>907</v>
      </c>
      <c r="D22" s="9" t="s">
        <v>907</v>
      </c>
      <c r="E22" s="173" t="s">
        <v>911</v>
      </c>
      <c r="F22" s="69">
        <v>2</v>
      </c>
      <c r="G22" s="172">
        <v>14754.1</v>
      </c>
      <c r="H22" s="89">
        <f>F22*G22</f>
        <v>29508.2</v>
      </c>
      <c r="I22" s="89">
        <f>H22*1.22</f>
        <v>36000.004000000001</v>
      </c>
    </row>
    <row r="23" spans="1:9" x14ac:dyDescent="0.25">
      <c r="A23" s="4">
        <v>6</v>
      </c>
      <c r="B23" s="6" t="s">
        <v>8</v>
      </c>
      <c r="C23" s="9" t="s">
        <v>907</v>
      </c>
      <c r="D23" s="9" t="s">
        <v>907</v>
      </c>
      <c r="E23" s="5" t="s">
        <v>912</v>
      </c>
      <c r="F23" s="6">
        <v>2</v>
      </c>
      <c r="G23" s="7">
        <v>3073.77</v>
      </c>
      <c r="H23" s="89">
        <f>F23*G23</f>
        <v>6147.54</v>
      </c>
      <c r="I23" s="7">
        <f>H23*1.22</f>
        <v>7499.9987999999994</v>
      </c>
    </row>
    <row r="24" spans="1:9" x14ac:dyDescent="0.25">
      <c r="A24" s="4">
        <v>7</v>
      </c>
      <c r="B24" s="6" t="s">
        <v>8</v>
      </c>
      <c r="C24" s="9" t="s">
        <v>907</v>
      </c>
      <c r="D24" s="9" t="s">
        <v>907</v>
      </c>
      <c r="E24" s="9" t="s">
        <v>913</v>
      </c>
      <c r="F24" s="6">
        <v>1</v>
      </c>
      <c r="G24" s="7">
        <v>10000</v>
      </c>
      <c r="H24" s="7">
        <f>F24*G24</f>
        <v>10000</v>
      </c>
      <c r="I24" s="89">
        <f>H24*1.22</f>
        <v>12200</v>
      </c>
    </row>
    <row r="25" spans="1:9" x14ac:dyDescent="0.25">
      <c r="A25" s="6">
        <v>8</v>
      </c>
      <c r="B25" s="6" t="s">
        <v>8</v>
      </c>
      <c r="C25" s="9" t="s">
        <v>907</v>
      </c>
      <c r="D25" s="9" t="s">
        <v>907</v>
      </c>
      <c r="E25" s="5" t="s">
        <v>914</v>
      </c>
      <c r="F25" s="6">
        <v>2</v>
      </c>
      <c r="G25" s="7">
        <v>12295.082</v>
      </c>
      <c r="H25" s="89">
        <f t="shared" ref="H25" si="19">F25*G25</f>
        <v>24590.164000000001</v>
      </c>
      <c r="I25" s="89">
        <f>H25*1.22</f>
        <v>30000.000080000002</v>
      </c>
    </row>
    <row r="26" spans="1:9" x14ac:dyDescent="0.25">
      <c r="A26" s="454" t="s">
        <v>59</v>
      </c>
      <c r="B26" s="455"/>
      <c r="C26" s="454"/>
      <c r="D26" s="454"/>
      <c r="E26" s="454"/>
      <c r="F26" s="454"/>
      <c r="G26" s="454"/>
      <c r="H26" s="454"/>
      <c r="I26" s="37">
        <f>SUM(I18:I25)</f>
        <v>183499.99584000002</v>
      </c>
    </row>
  </sheetData>
  <autoFilter ref="A1:AI14"/>
  <mergeCells count="2">
    <mergeCell ref="A14:H14"/>
    <mergeCell ref="A26:H26"/>
  </mergeCells>
  <printOptions horizontalCentered="1"/>
  <pageMargins left="0" right="0" top="0.39370078740157483" bottom="0.39370078740157483" header="0.23622047244094491" footer="0.23622047244094491"/>
  <pageSetup paperSize="9" scale="56" orientation="landscape" horizontalDpi="4294967294" verticalDpi="4294967294" r:id="rId1"/>
  <headerFooter alignWithMargins="0">
    <oddHeader>&amp;C&amp;"Garamond,Normale"&amp;A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6"/>
  <sheetViews>
    <sheetView topLeftCell="G1" zoomScale="80" zoomScaleNormal="80" workbookViewId="0">
      <pane ySplit="1" topLeftCell="A2" activePane="bottomLeft" state="frozen"/>
      <selection pane="bottomLeft" activeCell="V21" sqref="V21"/>
    </sheetView>
  </sheetViews>
  <sheetFormatPr defaultColWidth="9.140625" defaultRowHeight="12" x14ac:dyDescent="0.25"/>
  <cols>
    <col min="1" max="1" width="4" style="13" bestFit="1" customWidth="1"/>
    <col min="2" max="2" width="6.28515625" style="13" customWidth="1"/>
    <col min="3" max="3" width="13.5703125" style="12" customWidth="1"/>
    <col min="4" max="4" width="18.28515625" style="12" bestFit="1" customWidth="1"/>
    <col min="5" max="5" width="29.28515625" style="12" customWidth="1"/>
    <col min="6" max="6" width="4.140625" style="13" bestFit="1" customWidth="1"/>
    <col min="7" max="7" width="12.140625" style="14" customWidth="1"/>
    <col min="8" max="8" width="14.7109375" style="14" bestFit="1" customWidth="1"/>
    <col min="9" max="9" width="21" style="14" bestFit="1" customWidth="1"/>
    <col min="10" max="10" width="9.28515625" style="14" bestFit="1" customWidth="1"/>
    <col min="11" max="11" width="14.28515625" style="14" customWidth="1"/>
    <col min="12" max="13" width="14.7109375" style="14" customWidth="1"/>
    <col min="14" max="14" width="4" style="13" customWidth="1"/>
    <col min="15" max="15" width="12" style="13" customWidth="1"/>
    <col min="16" max="16" width="11.85546875" style="13" bestFit="1" customWidth="1"/>
    <col min="17" max="17" width="20.140625" style="13" bestFit="1" customWidth="1"/>
    <col min="18" max="18" width="13.140625" style="13" bestFit="1" customWidth="1"/>
    <col min="19" max="19" width="16.7109375" style="13" bestFit="1" customWidth="1"/>
    <col min="20" max="20" width="16.85546875" style="55" customWidth="1"/>
    <col min="21" max="21" width="13.85546875" style="12" customWidth="1"/>
    <col min="22" max="22" width="12.5703125" style="12" customWidth="1"/>
    <col min="23" max="23" width="11.5703125" style="12" customWidth="1"/>
    <col min="24" max="24" width="12" style="12" customWidth="1"/>
    <col min="25" max="25" width="20.42578125" style="13" customWidth="1"/>
    <col min="26" max="26" width="10.85546875" style="13" customWidth="1"/>
    <col min="27" max="27" width="11.7109375" style="13" customWidth="1"/>
    <col min="28" max="28" width="19.7109375" style="13" customWidth="1"/>
    <col min="29" max="29" width="11.85546875" style="12" customWidth="1"/>
    <col min="30" max="30" width="11.5703125" style="12" customWidth="1"/>
    <col min="31" max="31" width="43.42578125" style="12" customWidth="1"/>
    <col min="32" max="32" width="30.7109375" style="12" bestFit="1" customWidth="1"/>
    <col min="33" max="33" width="31.140625" style="12" customWidth="1"/>
    <col min="34" max="34" width="24.7109375" style="13" bestFit="1" customWidth="1"/>
    <col min="35" max="35" width="32.140625" style="13" customWidth="1"/>
    <col min="36" max="16384" width="9.140625" style="12"/>
  </cols>
  <sheetData>
    <row r="1" spans="1:35" s="170" customFormat="1" ht="42.6" customHeight="1" x14ac:dyDescent="0.25">
      <c r="A1" s="18" t="s">
        <v>0</v>
      </c>
      <c r="B1" s="18" t="s">
        <v>1</v>
      </c>
      <c r="C1" s="18" t="s">
        <v>2</v>
      </c>
      <c r="D1" s="18" t="s">
        <v>3</v>
      </c>
      <c r="E1" s="18" t="s">
        <v>4</v>
      </c>
      <c r="F1" s="18" t="s">
        <v>5</v>
      </c>
      <c r="G1" s="18" t="s">
        <v>186</v>
      </c>
      <c r="H1" s="18" t="s">
        <v>92</v>
      </c>
      <c r="I1" s="18" t="s">
        <v>61</v>
      </c>
      <c r="J1" s="64" t="s">
        <v>5</v>
      </c>
      <c r="K1" s="18" t="s">
        <v>105</v>
      </c>
      <c r="L1" s="18" t="s">
        <v>92</v>
      </c>
      <c r="M1" s="18" t="s">
        <v>61</v>
      </c>
      <c r="N1" s="64" t="s">
        <v>5</v>
      </c>
      <c r="O1" s="18" t="s">
        <v>902</v>
      </c>
      <c r="P1" s="18" t="s">
        <v>92</v>
      </c>
      <c r="Q1" s="18" t="s">
        <v>61</v>
      </c>
      <c r="R1" s="18" t="s">
        <v>313</v>
      </c>
      <c r="S1" s="18" t="s">
        <v>93</v>
      </c>
      <c r="T1" s="47" t="s">
        <v>267</v>
      </c>
      <c r="U1" s="65" t="s">
        <v>106</v>
      </c>
      <c r="V1" s="65" t="s">
        <v>107</v>
      </c>
      <c r="W1" s="65" t="s">
        <v>108</v>
      </c>
      <c r="X1" s="65" t="s">
        <v>109</v>
      </c>
      <c r="Y1" s="63" t="s">
        <v>110</v>
      </c>
      <c r="Z1" s="63" t="s">
        <v>111</v>
      </c>
      <c r="AA1" s="63" t="s">
        <v>112</v>
      </c>
      <c r="AB1" s="63" t="s">
        <v>113</v>
      </c>
      <c r="AC1" s="64" t="s">
        <v>114</v>
      </c>
      <c r="AD1" s="63" t="s">
        <v>115</v>
      </c>
      <c r="AE1" s="63" t="s">
        <v>116</v>
      </c>
      <c r="AF1" s="63" t="s">
        <v>117</v>
      </c>
      <c r="AG1" s="64" t="s">
        <v>118</v>
      </c>
      <c r="AH1" s="64" t="s">
        <v>1544</v>
      </c>
      <c r="AI1" s="64" t="s">
        <v>1540</v>
      </c>
    </row>
    <row r="2" spans="1:35" ht="48" x14ac:dyDescent="0.25">
      <c r="A2" s="96" t="s">
        <v>2014</v>
      </c>
      <c r="B2" s="91" t="s">
        <v>8</v>
      </c>
      <c r="C2" s="97" t="s">
        <v>915</v>
      </c>
      <c r="D2" s="97" t="s">
        <v>916</v>
      </c>
      <c r="E2" s="225" t="s">
        <v>54</v>
      </c>
      <c r="F2" s="129">
        <v>3</v>
      </c>
      <c r="G2" s="226">
        <v>32500</v>
      </c>
      <c r="H2" s="210">
        <f t="shared" ref="H2:H23" si="0">F2*G2</f>
        <v>97500</v>
      </c>
      <c r="I2" s="210">
        <f t="shared" ref="I2:I21" si="1">H2*1.22</f>
        <v>118950</v>
      </c>
      <c r="J2" s="132">
        <v>3</v>
      </c>
      <c r="K2" s="93">
        <v>67022.59</v>
      </c>
      <c r="L2" s="93">
        <f t="shared" ref="L2" si="2">J2*K2</f>
        <v>201067.77</v>
      </c>
      <c r="M2" s="93">
        <f t="shared" ref="M2" si="3">L2*1.22</f>
        <v>245302.67939999999</v>
      </c>
      <c r="N2" s="132">
        <v>3</v>
      </c>
      <c r="O2" s="93">
        <v>31200</v>
      </c>
      <c r="P2" s="93">
        <f>N2*O2</f>
        <v>93600</v>
      </c>
      <c r="Q2" s="93">
        <f>P2*1.22</f>
        <v>114192</v>
      </c>
      <c r="R2" s="85">
        <v>2020</v>
      </c>
      <c r="S2" s="93">
        <f>I2-Q2</f>
        <v>4758</v>
      </c>
      <c r="T2" s="106">
        <f t="shared" ref="T2:T5" si="4">1-Q2/M2</f>
        <v>0.5344853130862296</v>
      </c>
      <c r="U2" s="108">
        <v>43446</v>
      </c>
      <c r="V2" s="108">
        <v>43510</v>
      </c>
      <c r="W2" s="108">
        <v>43900</v>
      </c>
      <c r="X2" s="108">
        <v>43959</v>
      </c>
      <c r="Y2" s="86" t="s">
        <v>1296</v>
      </c>
      <c r="Z2" s="91" t="s">
        <v>1297</v>
      </c>
      <c r="AA2" s="86" t="s">
        <v>1298</v>
      </c>
      <c r="AB2" s="86" t="s">
        <v>1237</v>
      </c>
      <c r="AC2" s="101">
        <v>44208</v>
      </c>
      <c r="AD2" s="101">
        <v>44209</v>
      </c>
      <c r="AE2" s="91" t="s">
        <v>1480</v>
      </c>
      <c r="AF2" s="91" t="s">
        <v>1593</v>
      </c>
      <c r="AG2" s="109" t="s">
        <v>1502</v>
      </c>
      <c r="AH2" s="91" t="s">
        <v>8</v>
      </c>
      <c r="AI2" s="91" t="s">
        <v>1541</v>
      </c>
    </row>
    <row r="3" spans="1:35" ht="22.7" customHeight="1" x14ac:dyDescent="0.25">
      <c r="A3" s="257" t="s">
        <v>2015</v>
      </c>
      <c r="B3" s="408" t="s">
        <v>8</v>
      </c>
      <c r="C3" s="9" t="s">
        <v>2016</v>
      </c>
      <c r="D3" s="9" t="s">
        <v>916</v>
      </c>
      <c r="E3" s="173" t="s">
        <v>2017</v>
      </c>
      <c r="F3" s="69"/>
      <c r="G3" s="172"/>
      <c r="H3" s="89"/>
      <c r="I3" s="89"/>
      <c r="J3" s="46">
        <v>1</v>
      </c>
      <c r="K3" s="386">
        <v>1000</v>
      </c>
      <c r="L3" s="386">
        <v>1000</v>
      </c>
      <c r="M3" s="386">
        <f>L3*1.22</f>
        <v>1220</v>
      </c>
      <c r="N3" s="46">
        <v>1</v>
      </c>
      <c r="O3" s="386">
        <v>850</v>
      </c>
      <c r="P3" s="386">
        <f>N3*O3</f>
        <v>850</v>
      </c>
      <c r="Q3" s="386">
        <f>P3*1.22</f>
        <v>1037</v>
      </c>
      <c r="R3" s="38">
        <v>2022</v>
      </c>
      <c r="S3" s="386">
        <f>I3-Q3</f>
        <v>-1037</v>
      </c>
      <c r="T3" s="50"/>
      <c r="U3" s="57">
        <v>44853</v>
      </c>
      <c r="V3" s="57">
        <v>44868</v>
      </c>
      <c r="W3" s="57"/>
      <c r="X3" s="57">
        <v>44944</v>
      </c>
      <c r="Y3" s="40" t="s">
        <v>2068</v>
      </c>
      <c r="Z3" s="408" t="s">
        <v>2099</v>
      </c>
      <c r="AA3" s="40" t="s">
        <v>2018</v>
      </c>
      <c r="AB3" s="40" t="s">
        <v>2064</v>
      </c>
      <c r="AC3" s="20"/>
      <c r="AD3" s="20"/>
      <c r="AE3" s="408"/>
      <c r="AF3" s="408"/>
      <c r="AG3" s="70"/>
      <c r="AH3" s="408"/>
      <c r="AI3" s="408"/>
    </row>
    <row r="4" spans="1:35" ht="22.7" customHeight="1" x14ac:dyDescent="0.25">
      <c r="A4" s="257" t="s">
        <v>2052</v>
      </c>
      <c r="B4" s="408" t="s">
        <v>8</v>
      </c>
      <c r="C4" s="9" t="s">
        <v>2016</v>
      </c>
      <c r="D4" s="9" t="s">
        <v>916</v>
      </c>
      <c r="E4" s="173" t="s">
        <v>2053</v>
      </c>
      <c r="F4" s="69"/>
      <c r="G4" s="172"/>
      <c r="H4" s="89"/>
      <c r="I4" s="89"/>
      <c r="J4" s="46"/>
      <c r="K4" s="386"/>
      <c r="L4" s="386"/>
      <c r="M4" s="386"/>
      <c r="N4" s="46"/>
      <c r="O4" s="386"/>
      <c r="P4" s="386"/>
      <c r="Q4" s="386"/>
      <c r="R4" s="38"/>
      <c r="S4" s="386"/>
      <c r="T4" s="50"/>
      <c r="U4" s="57"/>
      <c r="V4" s="57"/>
      <c r="W4" s="57"/>
      <c r="X4" s="57"/>
      <c r="Y4" s="40"/>
      <c r="Z4" s="408"/>
      <c r="AA4" s="40"/>
      <c r="AB4" s="40"/>
      <c r="AC4" s="20"/>
      <c r="AD4" s="20"/>
      <c r="AE4" s="408"/>
      <c r="AF4" s="408"/>
      <c r="AG4" s="70"/>
      <c r="AH4" s="408"/>
      <c r="AI4" s="408"/>
    </row>
    <row r="5" spans="1:35" ht="48" x14ac:dyDescent="0.25">
      <c r="A5" s="96">
        <v>2</v>
      </c>
      <c r="B5" s="91" t="s">
        <v>8</v>
      </c>
      <c r="C5" s="97" t="s">
        <v>915</v>
      </c>
      <c r="D5" s="97" t="s">
        <v>916</v>
      </c>
      <c r="E5" s="225" t="s">
        <v>37</v>
      </c>
      <c r="F5" s="129">
        <v>4</v>
      </c>
      <c r="G5" s="226">
        <v>14500</v>
      </c>
      <c r="H5" s="210">
        <f t="shared" si="0"/>
        <v>58000</v>
      </c>
      <c r="I5" s="210">
        <f t="shared" si="1"/>
        <v>70760</v>
      </c>
      <c r="J5" s="132">
        <v>4</v>
      </c>
      <c r="K5" s="93">
        <f>5338750/225</f>
        <v>23727.777777777777</v>
      </c>
      <c r="L5" s="93">
        <f t="shared" ref="L5" si="5">J5*K5</f>
        <v>94911.111111111109</v>
      </c>
      <c r="M5" s="93">
        <f t="shared" ref="M5" si="6">L5*1.22</f>
        <v>115791.55555555555</v>
      </c>
      <c r="N5" s="132">
        <v>4</v>
      </c>
      <c r="O5" s="93">
        <f>(3*14720+13120)*0.99/4</f>
        <v>14176.8</v>
      </c>
      <c r="P5" s="93">
        <f t="shared" ref="P5" si="7">N5*O5</f>
        <v>56707.199999999997</v>
      </c>
      <c r="Q5" s="93">
        <f t="shared" ref="Q5" si="8">P5*1.22</f>
        <v>69182.784</v>
      </c>
      <c r="R5" s="85">
        <v>2020</v>
      </c>
      <c r="S5" s="93">
        <f>I5-Q5</f>
        <v>1577.2160000000003</v>
      </c>
      <c r="T5" s="106">
        <f t="shared" si="4"/>
        <v>0.40252306251463355</v>
      </c>
      <c r="U5" s="108">
        <v>43446</v>
      </c>
      <c r="V5" s="108">
        <v>43510</v>
      </c>
      <c r="W5" s="108">
        <v>43900</v>
      </c>
      <c r="X5" s="108">
        <v>43959</v>
      </c>
      <c r="Y5" s="86" t="s">
        <v>1234</v>
      </c>
      <c r="Z5" s="91" t="s">
        <v>1617</v>
      </c>
      <c r="AA5" s="86" t="s">
        <v>1236</v>
      </c>
      <c r="AB5" s="86" t="s">
        <v>1237</v>
      </c>
      <c r="AC5" s="101">
        <v>44081</v>
      </c>
      <c r="AD5" s="101">
        <v>44084</v>
      </c>
      <c r="AE5" s="91" t="s">
        <v>1277</v>
      </c>
      <c r="AF5" s="85" t="s">
        <v>1381</v>
      </c>
      <c r="AG5" s="109" t="s">
        <v>1287</v>
      </c>
      <c r="AH5" s="91" t="s">
        <v>8</v>
      </c>
      <c r="AI5" s="91" t="s">
        <v>1541</v>
      </c>
    </row>
    <row r="6" spans="1:35" ht="36" x14ac:dyDescent="0.25">
      <c r="A6" s="4">
        <v>3</v>
      </c>
      <c r="B6" s="6" t="s">
        <v>8</v>
      </c>
      <c r="C6" s="9" t="s">
        <v>915</v>
      </c>
      <c r="D6" s="9" t="s">
        <v>916</v>
      </c>
      <c r="E6" s="5" t="s">
        <v>908</v>
      </c>
      <c r="F6" s="6">
        <v>6</v>
      </c>
      <c r="G6" s="7">
        <v>1500</v>
      </c>
      <c r="H6" s="89">
        <f t="shared" si="0"/>
        <v>9000</v>
      </c>
      <c r="I6" s="89">
        <f t="shared" si="1"/>
        <v>10980</v>
      </c>
      <c r="J6" s="187"/>
      <c r="K6" s="89"/>
      <c r="L6" s="89"/>
      <c r="M6" s="89"/>
      <c r="N6" s="6"/>
      <c r="O6" s="7"/>
      <c r="P6" s="7">
        <f t="shared" ref="P6" si="9">N6*O6</f>
        <v>0</v>
      </c>
      <c r="Q6" s="7">
        <f t="shared" ref="Q6" si="10">P6*1.22</f>
        <v>0</v>
      </c>
      <c r="R6" s="7"/>
      <c r="S6" s="7"/>
      <c r="T6" s="54" t="e">
        <f t="shared" ref="T6:T23" si="11">1-Q6/M6</f>
        <v>#DIV/0!</v>
      </c>
      <c r="U6" s="5"/>
      <c r="V6" s="5"/>
      <c r="W6" s="5"/>
      <c r="X6" s="5"/>
      <c r="Y6" s="6"/>
      <c r="Z6" s="6"/>
      <c r="AA6" s="6"/>
      <c r="AB6" s="6"/>
      <c r="AC6" s="5"/>
      <c r="AD6" s="5"/>
      <c r="AE6" s="5"/>
      <c r="AF6" s="5"/>
      <c r="AG6" s="5"/>
      <c r="AH6" s="6" t="s">
        <v>8</v>
      </c>
      <c r="AI6" s="6" t="s">
        <v>1547</v>
      </c>
    </row>
    <row r="7" spans="1:35" ht="36" x14ac:dyDescent="0.25">
      <c r="A7" s="4">
        <v>4</v>
      </c>
      <c r="B7" s="6" t="s">
        <v>8</v>
      </c>
      <c r="C7" s="9" t="s">
        <v>915</v>
      </c>
      <c r="D7" s="9" t="s">
        <v>916</v>
      </c>
      <c r="E7" s="9" t="s">
        <v>65</v>
      </c>
      <c r="F7" s="69">
        <v>3</v>
      </c>
      <c r="G7" s="172">
        <v>8000</v>
      </c>
      <c r="H7" s="89">
        <f t="shared" si="0"/>
        <v>24000</v>
      </c>
      <c r="I7" s="89">
        <f t="shared" si="1"/>
        <v>29280</v>
      </c>
      <c r="J7" s="188"/>
      <c r="K7" s="2"/>
      <c r="L7" s="2"/>
      <c r="M7" s="2"/>
      <c r="N7" s="6"/>
      <c r="O7" s="7"/>
      <c r="P7" s="7">
        <f t="shared" ref="P7:P22" si="12">N7*O7</f>
        <v>0</v>
      </c>
      <c r="Q7" s="7">
        <f t="shared" ref="Q7:Q22" si="13">P7*1.22</f>
        <v>0</v>
      </c>
      <c r="R7" s="6"/>
      <c r="S7" s="7"/>
      <c r="T7" s="54" t="e">
        <f t="shared" si="11"/>
        <v>#DIV/0!</v>
      </c>
      <c r="U7" s="5"/>
      <c r="V7" s="5"/>
      <c r="W7" s="5"/>
      <c r="X7" s="5"/>
      <c r="Y7" s="6"/>
      <c r="Z7" s="6"/>
      <c r="AA7" s="6"/>
      <c r="AB7" s="6"/>
      <c r="AC7" s="5"/>
      <c r="AD7" s="5"/>
      <c r="AE7" s="5"/>
      <c r="AF7" s="5"/>
      <c r="AG7" s="5"/>
      <c r="AH7" s="6" t="s">
        <v>8</v>
      </c>
      <c r="AI7" s="6" t="s">
        <v>1547</v>
      </c>
    </row>
    <row r="8" spans="1:35" ht="36" x14ac:dyDescent="0.25">
      <c r="A8" s="4">
        <v>5</v>
      </c>
      <c r="B8" s="6" t="s">
        <v>8</v>
      </c>
      <c r="C8" s="9" t="s">
        <v>915</v>
      </c>
      <c r="D8" s="9" t="s">
        <v>916</v>
      </c>
      <c r="E8" s="9" t="s">
        <v>917</v>
      </c>
      <c r="F8" s="69">
        <v>3</v>
      </c>
      <c r="G8" s="172">
        <v>15000</v>
      </c>
      <c r="H8" s="89">
        <f t="shared" si="0"/>
        <v>45000</v>
      </c>
      <c r="I8" s="89">
        <f t="shared" si="1"/>
        <v>54900</v>
      </c>
      <c r="J8" s="186"/>
      <c r="K8" s="7"/>
      <c r="L8" s="7"/>
      <c r="M8" s="7"/>
      <c r="N8" s="6"/>
      <c r="O8" s="7"/>
      <c r="P8" s="7">
        <f t="shared" si="12"/>
        <v>0</v>
      </c>
      <c r="Q8" s="7">
        <f t="shared" si="13"/>
        <v>0</v>
      </c>
      <c r="R8" s="6"/>
      <c r="S8" s="7"/>
      <c r="T8" s="54" t="e">
        <f t="shared" si="11"/>
        <v>#DIV/0!</v>
      </c>
      <c r="U8" s="5"/>
      <c r="V8" s="5"/>
      <c r="W8" s="5"/>
      <c r="X8" s="5"/>
      <c r="Y8" s="6"/>
      <c r="Z8" s="6"/>
      <c r="AA8" s="6"/>
      <c r="AB8" s="6"/>
      <c r="AC8" s="5"/>
      <c r="AD8" s="5"/>
      <c r="AE8" s="5"/>
      <c r="AF8" s="5"/>
      <c r="AG8" s="5"/>
      <c r="AH8" s="6" t="s">
        <v>8</v>
      </c>
      <c r="AI8" s="6" t="s">
        <v>1547</v>
      </c>
    </row>
    <row r="9" spans="1:35" ht="48" x14ac:dyDescent="0.25">
      <c r="A9" s="96">
        <v>6</v>
      </c>
      <c r="B9" s="91" t="s">
        <v>8</v>
      </c>
      <c r="C9" s="97" t="s">
        <v>915</v>
      </c>
      <c r="D9" s="97" t="s">
        <v>916</v>
      </c>
      <c r="E9" s="225" t="s">
        <v>918</v>
      </c>
      <c r="F9" s="129">
        <v>3</v>
      </c>
      <c r="G9" s="226">
        <v>45000</v>
      </c>
      <c r="H9" s="210">
        <f t="shared" si="0"/>
        <v>135000</v>
      </c>
      <c r="I9" s="210">
        <f t="shared" si="1"/>
        <v>164700</v>
      </c>
      <c r="J9" s="132">
        <v>6</v>
      </c>
      <c r="K9" s="93">
        <v>4868.75</v>
      </c>
      <c r="L9" s="93">
        <f>K9*J9</f>
        <v>29212.5</v>
      </c>
      <c r="M9" s="93">
        <f>L9*1.22</f>
        <v>35639.25</v>
      </c>
      <c r="N9" s="132">
        <v>6</v>
      </c>
      <c r="O9" s="93">
        <f>P9/N9</f>
        <v>4521.0999999999995</v>
      </c>
      <c r="P9" s="93">
        <v>27126.6</v>
      </c>
      <c r="Q9" s="93">
        <f>P9</f>
        <v>27126.6</v>
      </c>
      <c r="R9" s="85">
        <v>2020</v>
      </c>
      <c r="S9" s="93">
        <f>I9-Q9</f>
        <v>137573.4</v>
      </c>
      <c r="T9" s="106">
        <f t="shared" si="11"/>
        <v>0.23885603653275533</v>
      </c>
      <c r="U9" s="108">
        <v>43678</v>
      </c>
      <c r="V9" s="108">
        <v>43735</v>
      </c>
      <c r="W9" s="108">
        <v>44110</v>
      </c>
      <c r="X9" s="108">
        <v>44116</v>
      </c>
      <c r="Y9" s="86" t="s">
        <v>1448</v>
      </c>
      <c r="Z9" s="91" t="s">
        <v>1456</v>
      </c>
      <c r="AA9" s="86">
        <v>7970571344</v>
      </c>
      <c r="AB9" s="86" t="s">
        <v>1269</v>
      </c>
      <c r="AC9" s="101" t="s">
        <v>1457</v>
      </c>
      <c r="AD9" s="101">
        <v>43850</v>
      </c>
      <c r="AE9" s="91" t="s">
        <v>2085</v>
      </c>
      <c r="AF9" s="91" t="s">
        <v>1593</v>
      </c>
      <c r="AG9" s="109" t="s">
        <v>1501</v>
      </c>
      <c r="AH9" s="91" t="s">
        <v>1560</v>
      </c>
      <c r="AI9" s="91" t="s">
        <v>1565</v>
      </c>
    </row>
    <row r="10" spans="1:35" ht="36" x14ac:dyDescent="0.25">
      <c r="A10" s="4">
        <v>7</v>
      </c>
      <c r="B10" s="6" t="s">
        <v>8</v>
      </c>
      <c r="C10" s="9" t="s">
        <v>915</v>
      </c>
      <c r="D10" s="9" t="s">
        <v>916</v>
      </c>
      <c r="E10" s="5" t="s">
        <v>552</v>
      </c>
      <c r="F10" s="69">
        <v>3</v>
      </c>
      <c r="G10" s="172">
        <v>15000</v>
      </c>
      <c r="H10" s="89">
        <f t="shared" si="0"/>
        <v>45000</v>
      </c>
      <c r="I10" s="89">
        <f t="shared" si="1"/>
        <v>54900</v>
      </c>
      <c r="J10" s="186"/>
      <c r="K10" s="7"/>
      <c r="L10" s="7"/>
      <c r="M10" s="7"/>
      <c r="N10" s="6"/>
      <c r="O10" s="7"/>
      <c r="P10" s="7">
        <f t="shared" si="12"/>
        <v>0</v>
      </c>
      <c r="Q10" s="7">
        <f t="shared" si="13"/>
        <v>0</v>
      </c>
      <c r="R10" s="6"/>
      <c r="S10" s="7"/>
      <c r="T10" s="54" t="e">
        <f t="shared" si="11"/>
        <v>#DIV/0!</v>
      </c>
      <c r="U10" s="5"/>
      <c r="V10" s="5"/>
      <c r="W10" s="5"/>
      <c r="X10" s="5"/>
      <c r="Y10" s="6"/>
      <c r="Z10" s="6"/>
      <c r="AA10" s="6"/>
      <c r="AB10" s="6"/>
      <c r="AC10" s="5"/>
      <c r="AD10" s="5"/>
      <c r="AE10" s="5"/>
      <c r="AF10" s="5"/>
      <c r="AG10" s="5"/>
      <c r="AH10" s="6" t="s">
        <v>8</v>
      </c>
      <c r="AI10" s="6" t="s">
        <v>1547</v>
      </c>
    </row>
    <row r="11" spans="1:35" ht="36" x14ac:dyDescent="0.25">
      <c r="A11" s="4">
        <v>8</v>
      </c>
      <c r="B11" s="6" t="s">
        <v>8</v>
      </c>
      <c r="C11" s="9" t="s">
        <v>915</v>
      </c>
      <c r="D11" s="9" t="s">
        <v>916</v>
      </c>
      <c r="E11" s="5" t="s">
        <v>220</v>
      </c>
      <c r="F11" s="69">
        <v>3</v>
      </c>
      <c r="G11" s="172">
        <v>6000</v>
      </c>
      <c r="H11" s="89">
        <f t="shared" si="0"/>
        <v>18000</v>
      </c>
      <c r="I11" s="89">
        <f t="shared" si="1"/>
        <v>21960</v>
      </c>
      <c r="J11" s="186"/>
      <c r="K11" s="7"/>
      <c r="L11" s="7"/>
      <c r="M11" s="7"/>
      <c r="N11" s="6"/>
      <c r="O11" s="7"/>
      <c r="P11" s="7">
        <f t="shared" si="12"/>
        <v>0</v>
      </c>
      <c r="Q11" s="7">
        <f t="shared" si="13"/>
        <v>0</v>
      </c>
      <c r="R11" s="6"/>
      <c r="S11" s="7"/>
      <c r="T11" s="54" t="e">
        <f t="shared" si="11"/>
        <v>#DIV/0!</v>
      </c>
      <c r="U11" s="5"/>
      <c r="V11" s="5"/>
      <c r="W11" s="5"/>
      <c r="X11" s="5"/>
      <c r="Y11" s="6"/>
      <c r="Z11" s="6"/>
      <c r="AA11" s="6"/>
      <c r="AB11" s="6"/>
      <c r="AC11" s="5"/>
      <c r="AD11" s="5"/>
      <c r="AE11" s="5"/>
      <c r="AF11" s="5"/>
      <c r="AG11" s="5"/>
      <c r="AH11" s="6" t="s">
        <v>8</v>
      </c>
      <c r="AI11" s="6" t="s">
        <v>1547</v>
      </c>
    </row>
    <row r="12" spans="1:35" ht="36" x14ac:dyDescent="0.25">
      <c r="A12" s="4">
        <v>9</v>
      </c>
      <c r="B12" s="6" t="s">
        <v>8</v>
      </c>
      <c r="C12" s="9" t="s">
        <v>915</v>
      </c>
      <c r="D12" s="9" t="s">
        <v>916</v>
      </c>
      <c r="E12" s="9" t="s">
        <v>919</v>
      </c>
      <c r="F12" s="69">
        <v>3</v>
      </c>
      <c r="G12" s="172">
        <v>13000</v>
      </c>
      <c r="H12" s="89">
        <f t="shared" si="0"/>
        <v>39000</v>
      </c>
      <c r="I12" s="89">
        <f t="shared" si="1"/>
        <v>47580</v>
      </c>
      <c r="J12" s="186"/>
      <c r="K12" s="7"/>
      <c r="L12" s="7"/>
      <c r="M12" s="7"/>
      <c r="N12" s="6"/>
      <c r="O12" s="7"/>
      <c r="P12" s="7">
        <f t="shared" si="12"/>
        <v>0</v>
      </c>
      <c r="Q12" s="7">
        <f t="shared" si="13"/>
        <v>0</v>
      </c>
      <c r="R12" s="6"/>
      <c r="S12" s="7"/>
      <c r="T12" s="54" t="e">
        <f t="shared" si="11"/>
        <v>#DIV/0!</v>
      </c>
      <c r="U12" s="5"/>
      <c r="V12" s="5"/>
      <c r="W12" s="5"/>
      <c r="X12" s="5"/>
      <c r="Y12" s="6"/>
      <c r="Z12" s="6"/>
      <c r="AA12" s="6"/>
      <c r="AB12" s="6"/>
      <c r="AC12" s="5"/>
      <c r="AD12" s="5"/>
      <c r="AE12" s="5"/>
      <c r="AF12" s="5"/>
      <c r="AG12" s="5"/>
      <c r="AH12" s="6" t="s">
        <v>8</v>
      </c>
      <c r="AI12" s="6" t="s">
        <v>1547</v>
      </c>
    </row>
    <row r="13" spans="1:35" ht="36" x14ac:dyDescent="0.25">
      <c r="A13" s="4">
        <v>10</v>
      </c>
      <c r="B13" s="6" t="s">
        <v>8</v>
      </c>
      <c r="C13" s="9" t="s">
        <v>915</v>
      </c>
      <c r="D13" s="9" t="s">
        <v>916</v>
      </c>
      <c r="E13" s="9" t="s">
        <v>920</v>
      </c>
      <c r="F13" s="69">
        <v>3</v>
      </c>
      <c r="G13" s="172">
        <v>4000</v>
      </c>
      <c r="H13" s="89">
        <f t="shared" si="0"/>
        <v>12000</v>
      </c>
      <c r="I13" s="89">
        <f t="shared" si="1"/>
        <v>14640</v>
      </c>
      <c r="J13" s="186"/>
      <c r="K13" s="7"/>
      <c r="L13" s="7"/>
      <c r="M13" s="7"/>
      <c r="N13" s="6"/>
      <c r="O13" s="7"/>
      <c r="P13" s="7">
        <f t="shared" si="12"/>
        <v>0</v>
      </c>
      <c r="Q13" s="7">
        <f t="shared" si="13"/>
        <v>0</v>
      </c>
      <c r="R13" s="6"/>
      <c r="S13" s="7"/>
      <c r="T13" s="54" t="e">
        <f t="shared" si="11"/>
        <v>#DIV/0!</v>
      </c>
      <c r="U13" s="5"/>
      <c r="V13" s="5"/>
      <c r="W13" s="5"/>
      <c r="X13" s="5"/>
      <c r="Y13" s="6"/>
      <c r="Z13" s="6"/>
      <c r="AA13" s="6"/>
      <c r="AB13" s="6"/>
      <c r="AC13" s="5"/>
      <c r="AD13" s="5"/>
      <c r="AE13" s="5"/>
      <c r="AF13" s="5"/>
      <c r="AG13" s="5"/>
      <c r="AH13" s="6" t="s">
        <v>8</v>
      </c>
      <c r="AI13" s="6" t="s">
        <v>1547</v>
      </c>
    </row>
    <row r="14" spans="1:35" ht="36" x14ac:dyDescent="0.25">
      <c r="A14" s="4">
        <v>11</v>
      </c>
      <c r="B14" s="6" t="s">
        <v>8</v>
      </c>
      <c r="C14" s="9" t="s">
        <v>915</v>
      </c>
      <c r="D14" s="9" t="s">
        <v>916</v>
      </c>
      <c r="E14" s="9" t="s">
        <v>921</v>
      </c>
      <c r="F14" s="69">
        <v>6</v>
      </c>
      <c r="G14" s="172">
        <v>3000</v>
      </c>
      <c r="H14" s="89">
        <f t="shared" si="0"/>
        <v>18000</v>
      </c>
      <c r="I14" s="89">
        <f t="shared" si="1"/>
        <v>21960</v>
      </c>
      <c r="J14" s="186"/>
      <c r="K14" s="7"/>
      <c r="L14" s="7"/>
      <c r="M14" s="7"/>
      <c r="N14" s="6"/>
      <c r="O14" s="7"/>
      <c r="P14" s="7">
        <f t="shared" si="12"/>
        <v>0</v>
      </c>
      <c r="Q14" s="7">
        <f t="shared" si="13"/>
        <v>0</v>
      </c>
      <c r="R14" s="6"/>
      <c r="S14" s="7"/>
      <c r="T14" s="54" t="e">
        <f t="shared" si="11"/>
        <v>#DIV/0!</v>
      </c>
      <c r="U14" s="5"/>
      <c r="V14" s="5"/>
      <c r="W14" s="5"/>
      <c r="X14" s="5"/>
      <c r="Y14" s="6"/>
      <c r="Z14" s="6"/>
      <c r="AA14" s="6"/>
      <c r="AB14" s="6"/>
      <c r="AC14" s="5"/>
      <c r="AD14" s="5"/>
      <c r="AE14" s="5"/>
      <c r="AF14" s="5"/>
      <c r="AG14" s="5"/>
      <c r="AH14" s="6" t="s">
        <v>8</v>
      </c>
      <c r="AI14" s="6" t="s">
        <v>1547</v>
      </c>
    </row>
    <row r="15" spans="1:35" ht="36" x14ac:dyDescent="0.25">
      <c r="A15" s="4">
        <v>12</v>
      </c>
      <c r="B15" s="6" t="s">
        <v>8</v>
      </c>
      <c r="C15" s="9" t="s">
        <v>915</v>
      </c>
      <c r="D15" s="9" t="s">
        <v>916</v>
      </c>
      <c r="E15" s="9" t="s">
        <v>922</v>
      </c>
      <c r="F15" s="6">
        <v>9</v>
      </c>
      <c r="G15" s="7">
        <v>3470</v>
      </c>
      <c r="H15" s="89">
        <f t="shared" si="0"/>
        <v>31230</v>
      </c>
      <c r="I15" s="89">
        <f t="shared" si="1"/>
        <v>38100.6</v>
      </c>
      <c r="J15" s="186"/>
      <c r="K15" s="7"/>
      <c r="L15" s="7"/>
      <c r="M15" s="7"/>
      <c r="N15" s="6"/>
      <c r="O15" s="7"/>
      <c r="P15" s="7">
        <f t="shared" si="12"/>
        <v>0</v>
      </c>
      <c r="Q15" s="7">
        <f t="shared" si="13"/>
        <v>0</v>
      </c>
      <c r="R15" s="6"/>
      <c r="S15" s="7"/>
      <c r="T15" s="54" t="e">
        <f t="shared" si="11"/>
        <v>#DIV/0!</v>
      </c>
      <c r="U15" s="5"/>
      <c r="V15" s="5"/>
      <c r="W15" s="5"/>
      <c r="X15" s="5"/>
      <c r="Y15" s="6"/>
      <c r="Z15" s="6"/>
      <c r="AA15" s="6"/>
      <c r="AB15" s="6"/>
      <c r="AC15" s="5"/>
      <c r="AD15" s="5"/>
      <c r="AE15" s="5"/>
      <c r="AF15" s="5"/>
      <c r="AG15" s="5"/>
      <c r="AH15" s="6" t="s">
        <v>8</v>
      </c>
      <c r="AI15" s="6" t="s">
        <v>1547</v>
      </c>
    </row>
    <row r="16" spans="1:35" ht="36" x14ac:dyDescent="0.25">
      <c r="A16" s="4">
        <v>13</v>
      </c>
      <c r="B16" s="6" t="s">
        <v>8</v>
      </c>
      <c r="C16" s="9" t="s">
        <v>915</v>
      </c>
      <c r="D16" s="9" t="s">
        <v>916</v>
      </c>
      <c r="E16" s="9" t="s">
        <v>923</v>
      </c>
      <c r="F16" s="6">
        <v>1</v>
      </c>
      <c r="G16" s="7">
        <v>90000</v>
      </c>
      <c r="H16" s="89">
        <f t="shared" si="0"/>
        <v>90000</v>
      </c>
      <c r="I16" s="89">
        <f t="shared" si="1"/>
        <v>109800</v>
      </c>
      <c r="J16" s="186"/>
      <c r="K16" s="7"/>
      <c r="L16" s="7"/>
      <c r="M16" s="7"/>
      <c r="N16" s="6"/>
      <c r="O16" s="7"/>
      <c r="P16" s="7">
        <f t="shared" si="12"/>
        <v>0</v>
      </c>
      <c r="Q16" s="7">
        <f t="shared" si="13"/>
        <v>0</v>
      </c>
      <c r="R16" s="6"/>
      <c r="S16" s="7"/>
      <c r="T16" s="54" t="e">
        <f t="shared" si="11"/>
        <v>#DIV/0!</v>
      </c>
      <c r="U16" s="5"/>
      <c r="V16" s="5"/>
      <c r="W16" s="5"/>
      <c r="X16" s="5"/>
      <c r="Y16" s="6"/>
      <c r="Z16" s="6"/>
      <c r="AA16" s="6"/>
      <c r="AB16" s="6"/>
      <c r="AC16" s="5"/>
      <c r="AD16" s="5"/>
      <c r="AE16" s="5"/>
      <c r="AF16" s="5"/>
      <c r="AG16" s="5"/>
      <c r="AH16" s="6" t="s">
        <v>8</v>
      </c>
      <c r="AI16" s="6" t="s">
        <v>1547</v>
      </c>
    </row>
    <row r="17" spans="1:35" ht="36" x14ac:dyDescent="0.25">
      <c r="A17" s="4">
        <v>14</v>
      </c>
      <c r="B17" s="6" t="s">
        <v>8</v>
      </c>
      <c r="C17" s="9" t="s">
        <v>915</v>
      </c>
      <c r="D17" s="9" t="s">
        <v>916</v>
      </c>
      <c r="E17" s="173" t="s">
        <v>909</v>
      </c>
      <c r="F17" s="69">
        <v>20</v>
      </c>
      <c r="G17" s="172">
        <v>1000</v>
      </c>
      <c r="H17" s="89">
        <f t="shared" si="0"/>
        <v>20000</v>
      </c>
      <c r="I17" s="89">
        <f t="shared" si="1"/>
        <v>24400</v>
      </c>
      <c r="J17" s="186"/>
      <c r="K17" s="7"/>
      <c r="L17" s="7"/>
      <c r="M17" s="7"/>
      <c r="N17" s="6"/>
      <c r="O17" s="7"/>
      <c r="P17" s="7">
        <f t="shared" si="12"/>
        <v>0</v>
      </c>
      <c r="Q17" s="7">
        <f t="shared" si="13"/>
        <v>0</v>
      </c>
      <c r="R17" s="6"/>
      <c r="S17" s="7"/>
      <c r="T17" s="54" t="e">
        <f t="shared" si="11"/>
        <v>#DIV/0!</v>
      </c>
      <c r="U17" s="5"/>
      <c r="V17" s="5"/>
      <c r="W17" s="5"/>
      <c r="X17" s="5"/>
      <c r="Y17" s="6"/>
      <c r="Z17" s="6"/>
      <c r="AA17" s="6"/>
      <c r="AB17" s="6"/>
      <c r="AC17" s="5"/>
      <c r="AD17" s="5"/>
      <c r="AE17" s="5"/>
      <c r="AF17" s="5"/>
      <c r="AG17" s="5"/>
      <c r="AH17" s="6" t="s">
        <v>8</v>
      </c>
      <c r="AI17" s="6" t="s">
        <v>1547</v>
      </c>
    </row>
    <row r="18" spans="1:35" ht="36" x14ac:dyDescent="0.25">
      <c r="A18" s="4">
        <v>15</v>
      </c>
      <c r="B18" s="6" t="s">
        <v>8</v>
      </c>
      <c r="C18" s="9" t="s">
        <v>915</v>
      </c>
      <c r="D18" s="9" t="s">
        <v>916</v>
      </c>
      <c r="E18" s="5" t="s">
        <v>910</v>
      </c>
      <c r="F18" s="69">
        <v>6</v>
      </c>
      <c r="G18" s="7">
        <v>2499.9189999999999</v>
      </c>
      <c r="H18" s="89">
        <f t="shared" si="0"/>
        <v>14999.513999999999</v>
      </c>
      <c r="I18" s="89">
        <f t="shared" si="1"/>
        <v>18299.407079999997</v>
      </c>
      <c r="J18" s="186"/>
      <c r="K18" s="7"/>
      <c r="L18" s="7"/>
      <c r="M18" s="7"/>
      <c r="N18" s="6"/>
      <c r="O18" s="7"/>
      <c r="P18" s="7">
        <f t="shared" si="12"/>
        <v>0</v>
      </c>
      <c r="Q18" s="7">
        <f t="shared" si="13"/>
        <v>0</v>
      </c>
      <c r="R18" s="6"/>
      <c r="S18" s="7"/>
      <c r="T18" s="54" t="e">
        <f t="shared" si="11"/>
        <v>#DIV/0!</v>
      </c>
      <c r="U18" s="5"/>
      <c r="V18" s="5"/>
      <c r="W18" s="5"/>
      <c r="X18" s="5"/>
      <c r="Y18" s="6"/>
      <c r="Z18" s="6"/>
      <c r="AA18" s="6"/>
      <c r="AB18" s="6"/>
      <c r="AC18" s="5"/>
      <c r="AD18" s="5"/>
      <c r="AE18" s="5"/>
      <c r="AF18" s="5"/>
      <c r="AG18" s="5"/>
      <c r="AH18" s="6" t="s">
        <v>8</v>
      </c>
      <c r="AI18" s="6" t="s">
        <v>1547</v>
      </c>
    </row>
    <row r="19" spans="1:35" ht="36" x14ac:dyDescent="0.25">
      <c r="A19" s="4">
        <v>16</v>
      </c>
      <c r="B19" s="6" t="s">
        <v>8</v>
      </c>
      <c r="C19" s="9" t="s">
        <v>915</v>
      </c>
      <c r="D19" s="9" t="s">
        <v>916</v>
      </c>
      <c r="E19" s="5" t="s">
        <v>305</v>
      </c>
      <c r="F19" s="69">
        <v>3</v>
      </c>
      <c r="G19" s="7">
        <v>6500</v>
      </c>
      <c r="H19" s="89">
        <f t="shared" si="0"/>
        <v>19500</v>
      </c>
      <c r="I19" s="89">
        <f t="shared" si="1"/>
        <v>23790</v>
      </c>
      <c r="J19" s="186"/>
      <c r="K19" s="7"/>
      <c r="L19" s="7"/>
      <c r="M19" s="7"/>
      <c r="N19" s="6"/>
      <c r="O19" s="7"/>
      <c r="P19" s="7">
        <f t="shared" si="12"/>
        <v>0</v>
      </c>
      <c r="Q19" s="7">
        <f t="shared" si="13"/>
        <v>0</v>
      </c>
      <c r="R19" s="6"/>
      <c r="S19" s="7"/>
      <c r="T19" s="54" t="e">
        <f t="shared" si="11"/>
        <v>#DIV/0!</v>
      </c>
      <c r="U19" s="5"/>
      <c r="V19" s="5"/>
      <c r="W19" s="5"/>
      <c r="X19" s="5"/>
      <c r="Y19" s="6"/>
      <c r="Z19" s="6"/>
      <c r="AA19" s="6"/>
      <c r="AB19" s="6"/>
      <c r="AC19" s="5"/>
      <c r="AD19" s="5"/>
      <c r="AE19" s="5"/>
      <c r="AF19" s="5"/>
      <c r="AG19" s="5"/>
      <c r="AH19" s="6" t="s">
        <v>8</v>
      </c>
      <c r="AI19" s="6" t="s">
        <v>1547</v>
      </c>
    </row>
    <row r="20" spans="1:35" ht="36" x14ac:dyDescent="0.25">
      <c r="A20" s="4">
        <v>17</v>
      </c>
      <c r="B20" s="6" t="s">
        <v>8</v>
      </c>
      <c r="C20" s="9" t="s">
        <v>915</v>
      </c>
      <c r="D20" s="9" t="s">
        <v>916</v>
      </c>
      <c r="E20" s="173" t="s">
        <v>924</v>
      </c>
      <c r="F20" s="69">
        <v>3</v>
      </c>
      <c r="G20" s="172">
        <v>29508.196</v>
      </c>
      <c r="H20" s="89">
        <f t="shared" si="0"/>
        <v>88524.588000000003</v>
      </c>
      <c r="I20" s="89">
        <f t="shared" si="1"/>
        <v>107999.99736000001</v>
      </c>
      <c r="J20" s="186"/>
      <c r="K20" s="7"/>
      <c r="L20" s="7"/>
      <c r="M20" s="7"/>
      <c r="N20" s="6"/>
      <c r="O20" s="7"/>
      <c r="P20" s="7">
        <f t="shared" si="12"/>
        <v>0</v>
      </c>
      <c r="Q20" s="7">
        <f t="shared" si="13"/>
        <v>0</v>
      </c>
      <c r="R20" s="6"/>
      <c r="S20" s="7"/>
      <c r="T20" s="54" t="e">
        <f t="shared" si="11"/>
        <v>#DIV/0!</v>
      </c>
      <c r="U20" s="5"/>
      <c r="V20" s="5"/>
      <c r="W20" s="5"/>
      <c r="X20" s="5"/>
      <c r="Y20" s="6"/>
      <c r="Z20" s="6"/>
      <c r="AA20" s="6"/>
      <c r="AB20" s="6"/>
      <c r="AC20" s="5"/>
      <c r="AD20" s="5"/>
      <c r="AE20" s="5"/>
      <c r="AF20" s="5"/>
      <c r="AG20" s="5"/>
      <c r="AH20" s="6" t="s">
        <v>8</v>
      </c>
      <c r="AI20" s="6" t="s">
        <v>1547</v>
      </c>
    </row>
    <row r="21" spans="1:35" ht="36" x14ac:dyDescent="0.25">
      <c r="A21" s="4">
        <v>18</v>
      </c>
      <c r="B21" s="6" t="s">
        <v>8</v>
      </c>
      <c r="C21" s="9" t="s">
        <v>915</v>
      </c>
      <c r="D21" s="9" t="s">
        <v>916</v>
      </c>
      <c r="E21" s="5" t="s">
        <v>912</v>
      </c>
      <c r="F21" s="6">
        <v>3</v>
      </c>
      <c r="G21" s="7">
        <v>6147.54</v>
      </c>
      <c r="H21" s="89">
        <f t="shared" si="0"/>
        <v>18442.62</v>
      </c>
      <c r="I21" s="89">
        <f t="shared" si="1"/>
        <v>22499.9964</v>
      </c>
      <c r="J21" s="186"/>
      <c r="K21" s="7"/>
      <c r="L21" s="7"/>
      <c r="M21" s="7"/>
      <c r="N21" s="6"/>
      <c r="O21" s="7"/>
      <c r="P21" s="7">
        <f t="shared" si="12"/>
        <v>0</v>
      </c>
      <c r="Q21" s="7">
        <f t="shared" si="13"/>
        <v>0</v>
      </c>
      <c r="R21" s="6"/>
      <c r="S21" s="7"/>
      <c r="T21" s="54" t="e">
        <f t="shared" si="11"/>
        <v>#DIV/0!</v>
      </c>
      <c r="U21" s="5"/>
      <c r="V21" s="5"/>
      <c r="W21" s="5"/>
      <c r="X21" s="5"/>
      <c r="Y21" s="6"/>
      <c r="Z21" s="6"/>
      <c r="AA21" s="6"/>
      <c r="AB21" s="6"/>
      <c r="AC21" s="5"/>
      <c r="AD21" s="5"/>
      <c r="AE21" s="5"/>
      <c r="AF21" s="5"/>
      <c r="AG21" s="5"/>
      <c r="AH21" s="6" t="s">
        <v>8</v>
      </c>
      <c r="AI21" s="6" t="s">
        <v>1547</v>
      </c>
    </row>
    <row r="22" spans="1:35" ht="36" x14ac:dyDescent="0.25">
      <c r="A22" s="4">
        <v>19</v>
      </c>
      <c r="B22" s="6" t="s">
        <v>8</v>
      </c>
      <c r="C22" s="9" t="s">
        <v>915</v>
      </c>
      <c r="D22" s="9" t="s">
        <v>916</v>
      </c>
      <c r="E22" s="9" t="s">
        <v>913</v>
      </c>
      <c r="F22" s="6">
        <v>1</v>
      </c>
      <c r="G22" s="7">
        <v>60000</v>
      </c>
      <c r="H22" s="7">
        <f t="shared" si="0"/>
        <v>60000</v>
      </c>
      <c r="I22" s="7">
        <f>H22</f>
        <v>60000</v>
      </c>
      <c r="J22" s="186"/>
      <c r="K22" s="7"/>
      <c r="L22" s="7"/>
      <c r="M22" s="7"/>
      <c r="N22" s="6"/>
      <c r="O22" s="7"/>
      <c r="P22" s="7">
        <f t="shared" si="12"/>
        <v>0</v>
      </c>
      <c r="Q22" s="7">
        <f t="shared" si="13"/>
        <v>0</v>
      </c>
      <c r="R22" s="6"/>
      <c r="S22" s="7"/>
      <c r="T22" s="54" t="e">
        <f t="shared" si="11"/>
        <v>#DIV/0!</v>
      </c>
      <c r="U22" s="5"/>
      <c r="V22" s="5"/>
      <c r="W22" s="5"/>
      <c r="X22" s="5"/>
      <c r="Y22" s="6"/>
      <c r="Z22" s="6"/>
      <c r="AA22" s="6"/>
      <c r="AB22" s="6"/>
      <c r="AC22" s="5"/>
      <c r="AD22" s="5"/>
      <c r="AE22" s="5"/>
      <c r="AF22" s="5"/>
      <c r="AG22" s="5"/>
      <c r="AH22" s="6" t="s">
        <v>8</v>
      </c>
      <c r="AI22" s="6" t="s">
        <v>1547</v>
      </c>
    </row>
    <row r="23" spans="1:35" ht="300.2" customHeight="1" x14ac:dyDescent="0.2">
      <c r="A23" s="4">
        <v>20</v>
      </c>
      <c r="B23" s="6" t="s">
        <v>8</v>
      </c>
      <c r="C23" s="9" t="s">
        <v>915</v>
      </c>
      <c r="D23" s="9" t="s">
        <v>916</v>
      </c>
      <c r="E23" s="5" t="s">
        <v>914</v>
      </c>
      <c r="F23" s="6">
        <v>9</v>
      </c>
      <c r="G23" s="7">
        <v>12295.082</v>
      </c>
      <c r="H23" s="89">
        <f t="shared" si="0"/>
        <v>110655.738</v>
      </c>
      <c r="I23" s="89">
        <f>H23*1.22</f>
        <v>135000.00036000001</v>
      </c>
      <c r="J23" s="186">
        <v>9</v>
      </c>
      <c r="K23" s="7">
        <v>12295.082</v>
      </c>
      <c r="L23" s="89">
        <f t="shared" ref="L23" si="14">J23*K23</f>
        <v>110655.738</v>
      </c>
      <c r="M23" s="89">
        <f t="shared" ref="M23" si="15">L23*1.22</f>
        <v>135000.00036000001</v>
      </c>
      <c r="N23" s="6">
        <v>9</v>
      </c>
      <c r="O23" s="7">
        <f>P23/N23</f>
        <v>8542.2240437158471</v>
      </c>
      <c r="P23" s="7">
        <f>Q23/1.22</f>
        <v>76880.016393442624</v>
      </c>
      <c r="Q23" s="7">
        <v>93793.62</v>
      </c>
      <c r="R23" s="6">
        <v>2018</v>
      </c>
      <c r="S23" s="7">
        <f>I23-Q23</f>
        <v>41206.38036000001</v>
      </c>
      <c r="T23" s="54">
        <f t="shared" si="11"/>
        <v>0.30523244629715796</v>
      </c>
      <c r="U23" s="20">
        <v>42948</v>
      </c>
      <c r="V23" s="20">
        <v>43025</v>
      </c>
      <c r="W23" s="20">
        <v>43166</v>
      </c>
      <c r="X23" s="20">
        <v>43294</v>
      </c>
      <c r="Y23" s="6" t="s">
        <v>960</v>
      </c>
      <c r="Z23" s="6" t="s">
        <v>960</v>
      </c>
      <c r="AA23" s="6" t="s">
        <v>957</v>
      </c>
      <c r="AB23" s="6" t="s">
        <v>956</v>
      </c>
      <c r="AC23" s="5" t="s">
        <v>1083</v>
      </c>
      <c r="AD23" s="5" t="s">
        <v>1083</v>
      </c>
      <c r="AE23" s="254" t="s">
        <v>2027</v>
      </c>
      <c r="AF23" s="5"/>
      <c r="AG23" s="280" t="s">
        <v>2028</v>
      </c>
      <c r="AH23" s="6" t="s">
        <v>8</v>
      </c>
      <c r="AI23" s="6" t="s">
        <v>1541</v>
      </c>
    </row>
    <row r="24" spans="1:35" ht="12.2" customHeight="1" x14ac:dyDescent="0.25">
      <c r="A24" s="454" t="s">
        <v>59</v>
      </c>
      <c r="B24" s="455"/>
      <c r="C24" s="454"/>
      <c r="D24" s="454"/>
      <c r="E24" s="454"/>
      <c r="F24" s="459"/>
      <c r="G24" s="459"/>
      <c r="H24" s="459"/>
      <c r="I24" s="37">
        <f>SUM(I2:I23)</f>
        <v>1150500.0012000001</v>
      </c>
      <c r="N24" s="181"/>
      <c r="O24" s="181"/>
      <c r="P24" s="181"/>
      <c r="Q24" s="37">
        <f>SUM(Q2:Q23)</f>
        <v>305332.00399999996</v>
      </c>
      <c r="R24" s="181"/>
      <c r="S24" s="2">
        <f>SUM(S2:S23)</f>
        <v>184077.99635999999</v>
      </c>
    </row>
    <row r="25" spans="1:35" x14ac:dyDescent="0.25">
      <c r="Q25" s="14"/>
      <c r="S25" s="14"/>
    </row>
    <row r="26" spans="1:35" x14ac:dyDescent="0.25">
      <c r="Q26" s="14"/>
    </row>
    <row r="27" spans="1:35" ht="36" x14ac:dyDescent="0.25">
      <c r="A27" s="4">
        <v>1</v>
      </c>
      <c r="B27" s="6" t="s">
        <v>8</v>
      </c>
      <c r="C27" s="9" t="s">
        <v>915</v>
      </c>
      <c r="D27" s="9" t="s">
        <v>916</v>
      </c>
      <c r="E27" s="173" t="s">
        <v>54</v>
      </c>
      <c r="F27" s="69">
        <v>3</v>
      </c>
      <c r="G27" s="172">
        <v>50000</v>
      </c>
      <c r="H27" s="89">
        <f>F27*G27</f>
        <v>150000</v>
      </c>
      <c r="I27" s="89">
        <f>H27*1.22</f>
        <v>183000</v>
      </c>
    </row>
    <row r="28" spans="1:35" ht="36" x14ac:dyDescent="0.25">
      <c r="A28" s="4">
        <v>2</v>
      </c>
      <c r="B28" s="6" t="s">
        <v>8</v>
      </c>
      <c r="C28" s="9" t="s">
        <v>915</v>
      </c>
      <c r="D28" s="9" t="s">
        <v>916</v>
      </c>
      <c r="E28" s="5" t="s">
        <v>908</v>
      </c>
      <c r="F28" s="6">
        <v>6</v>
      </c>
      <c r="G28" s="7">
        <v>1500</v>
      </c>
      <c r="H28" s="89">
        <f t="shared" ref="H28:H42" si="16">F28*G28</f>
        <v>9000</v>
      </c>
      <c r="I28" s="89">
        <f t="shared" ref="I28:I42" si="17">H28*1.22</f>
        <v>10980</v>
      </c>
    </row>
    <row r="29" spans="1:35" ht="36" x14ac:dyDescent="0.25">
      <c r="A29" s="4">
        <v>3</v>
      </c>
      <c r="B29" s="6" t="s">
        <v>8</v>
      </c>
      <c r="C29" s="9" t="s">
        <v>915</v>
      </c>
      <c r="D29" s="9" t="s">
        <v>916</v>
      </c>
      <c r="E29" s="9" t="s">
        <v>65</v>
      </c>
      <c r="F29" s="69">
        <v>3</v>
      </c>
      <c r="G29" s="172">
        <v>8000</v>
      </c>
      <c r="H29" s="89">
        <f t="shared" si="16"/>
        <v>24000</v>
      </c>
      <c r="I29" s="89">
        <f t="shared" si="17"/>
        <v>29280</v>
      </c>
    </row>
    <row r="30" spans="1:35" ht="36" x14ac:dyDescent="0.25">
      <c r="A30" s="4">
        <v>4</v>
      </c>
      <c r="B30" s="6" t="s">
        <v>8</v>
      </c>
      <c r="C30" s="9" t="s">
        <v>915</v>
      </c>
      <c r="D30" s="9" t="s">
        <v>916</v>
      </c>
      <c r="E30" s="9" t="s">
        <v>917</v>
      </c>
      <c r="F30" s="69">
        <v>3</v>
      </c>
      <c r="G30" s="172">
        <v>15000</v>
      </c>
      <c r="H30" s="89">
        <f t="shared" si="16"/>
        <v>45000</v>
      </c>
      <c r="I30" s="89">
        <f t="shared" si="17"/>
        <v>54900</v>
      </c>
    </row>
    <row r="31" spans="1:35" ht="36" x14ac:dyDescent="0.25">
      <c r="A31" s="4">
        <v>5</v>
      </c>
      <c r="B31" s="6" t="s">
        <v>8</v>
      </c>
      <c r="C31" s="9" t="s">
        <v>915</v>
      </c>
      <c r="D31" s="9" t="s">
        <v>916</v>
      </c>
      <c r="E31" s="9" t="s">
        <v>918</v>
      </c>
      <c r="F31" s="69">
        <v>3</v>
      </c>
      <c r="G31" s="172">
        <v>50000</v>
      </c>
      <c r="H31" s="89">
        <f t="shared" si="16"/>
        <v>150000</v>
      </c>
      <c r="I31" s="89">
        <f t="shared" si="17"/>
        <v>183000</v>
      </c>
    </row>
    <row r="32" spans="1:35" ht="36" x14ac:dyDescent="0.25">
      <c r="A32" s="4">
        <v>6</v>
      </c>
      <c r="B32" s="6" t="s">
        <v>8</v>
      </c>
      <c r="C32" s="9" t="s">
        <v>915</v>
      </c>
      <c r="D32" s="9" t="s">
        <v>916</v>
      </c>
      <c r="E32" s="5" t="s">
        <v>552</v>
      </c>
      <c r="F32" s="69">
        <v>3</v>
      </c>
      <c r="G32" s="172">
        <v>15000</v>
      </c>
      <c r="H32" s="89">
        <f t="shared" si="16"/>
        <v>45000</v>
      </c>
      <c r="I32" s="89">
        <f t="shared" si="17"/>
        <v>54900</v>
      </c>
    </row>
    <row r="33" spans="1:9" ht="36" x14ac:dyDescent="0.25">
      <c r="A33" s="4">
        <v>7</v>
      </c>
      <c r="B33" s="6" t="s">
        <v>8</v>
      </c>
      <c r="C33" s="9" t="s">
        <v>915</v>
      </c>
      <c r="D33" s="9" t="s">
        <v>916</v>
      </c>
      <c r="E33" s="5" t="s">
        <v>220</v>
      </c>
      <c r="F33" s="69">
        <v>3</v>
      </c>
      <c r="G33" s="172">
        <v>5000</v>
      </c>
      <c r="H33" s="89">
        <f t="shared" si="16"/>
        <v>15000</v>
      </c>
      <c r="I33" s="89">
        <f t="shared" si="17"/>
        <v>18300</v>
      </c>
    </row>
    <row r="34" spans="1:9" ht="36" x14ac:dyDescent="0.25">
      <c r="A34" s="4">
        <v>8</v>
      </c>
      <c r="B34" s="6" t="s">
        <v>8</v>
      </c>
      <c r="C34" s="9" t="s">
        <v>915</v>
      </c>
      <c r="D34" s="9" t="s">
        <v>916</v>
      </c>
      <c r="E34" s="9" t="s">
        <v>919</v>
      </c>
      <c r="F34" s="69">
        <v>3</v>
      </c>
      <c r="G34" s="172">
        <v>13000</v>
      </c>
      <c r="H34" s="89">
        <f t="shared" si="16"/>
        <v>39000</v>
      </c>
      <c r="I34" s="89">
        <f t="shared" si="17"/>
        <v>47580</v>
      </c>
    </row>
    <row r="35" spans="1:9" ht="36" x14ac:dyDescent="0.25">
      <c r="A35" s="4">
        <v>9</v>
      </c>
      <c r="B35" s="6" t="s">
        <v>8</v>
      </c>
      <c r="C35" s="9" t="s">
        <v>915</v>
      </c>
      <c r="D35" s="9" t="s">
        <v>916</v>
      </c>
      <c r="E35" s="9" t="s">
        <v>920</v>
      </c>
      <c r="F35" s="69">
        <v>3</v>
      </c>
      <c r="G35" s="172">
        <v>4000</v>
      </c>
      <c r="H35" s="89">
        <f t="shared" si="16"/>
        <v>12000</v>
      </c>
      <c r="I35" s="89">
        <f t="shared" si="17"/>
        <v>14640</v>
      </c>
    </row>
    <row r="36" spans="1:9" ht="36" x14ac:dyDescent="0.25">
      <c r="A36" s="4">
        <v>10</v>
      </c>
      <c r="B36" s="6" t="s">
        <v>8</v>
      </c>
      <c r="C36" s="9" t="s">
        <v>915</v>
      </c>
      <c r="D36" s="9" t="s">
        <v>916</v>
      </c>
      <c r="E36" s="9" t="s">
        <v>921</v>
      </c>
      <c r="F36" s="69">
        <v>6</v>
      </c>
      <c r="G36" s="172">
        <v>3000</v>
      </c>
      <c r="H36" s="89">
        <f t="shared" si="16"/>
        <v>18000</v>
      </c>
      <c r="I36" s="89">
        <f t="shared" si="17"/>
        <v>21960</v>
      </c>
    </row>
    <row r="37" spans="1:9" ht="36" x14ac:dyDescent="0.25">
      <c r="A37" s="4">
        <v>11</v>
      </c>
      <c r="B37" s="6" t="s">
        <v>8</v>
      </c>
      <c r="C37" s="9" t="s">
        <v>915</v>
      </c>
      <c r="D37" s="9" t="s">
        <v>916</v>
      </c>
      <c r="E37" s="9" t="s">
        <v>922</v>
      </c>
      <c r="F37" s="6">
        <v>9</v>
      </c>
      <c r="G37" s="7">
        <v>3500</v>
      </c>
      <c r="H37" s="89">
        <f t="shared" si="16"/>
        <v>31500</v>
      </c>
      <c r="I37" s="89">
        <f t="shared" si="17"/>
        <v>38430</v>
      </c>
    </row>
    <row r="38" spans="1:9" ht="36" x14ac:dyDescent="0.25">
      <c r="A38" s="4">
        <v>12</v>
      </c>
      <c r="B38" s="6" t="s">
        <v>8</v>
      </c>
      <c r="C38" s="9" t="s">
        <v>915</v>
      </c>
      <c r="D38" s="9" t="s">
        <v>916</v>
      </c>
      <c r="E38" s="9" t="s">
        <v>923</v>
      </c>
      <c r="F38" s="6">
        <v>1</v>
      </c>
      <c r="G38" s="7">
        <v>90000</v>
      </c>
      <c r="H38" s="89">
        <f t="shared" si="16"/>
        <v>90000</v>
      </c>
      <c r="I38" s="89">
        <f t="shared" si="17"/>
        <v>109800</v>
      </c>
    </row>
    <row r="39" spans="1:9" ht="36" x14ac:dyDescent="0.25">
      <c r="A39" s="4">
        <v>13</v>
      </c>
      <c r="B39" s="6" t="s">
        <v>8</v>
      </c>
      <c r="C39" s="9" t="s">
        <v>915</v>
      </c>
      <c r="D39" s="9" t="s">
        <v>916</v>
      </c>
      <c r="E39" s="173" t="s">
        <v>909</v>
      </c>
      <c r="F39" s="69">
        <v>20</v>
      </c>
      <c r="G39" s="172">
        <v>1000</v>
      </c>
      <c r="H39" s="89">
        <f>F39*G39</f>
        <v>20000</v>
      </c>
      <c r="I39" s="89">
        <f>H39*1.22</f>
        <v>24400</v>
      </c>
    </row>
    <row r="40" spans="1:9" ht="36" x14ac:dyDescent="0.25">
      <c r="A40" s="4">
        <v>14</v>
      </c>
      <c r="B40" s="6" t="s">
        <v>8</v>
      </c>
      <c r="C40" s="9" t="s">
        <v>915</v>
      </c>
      <c r="D40" s="9" t="s">
        <v>916</v>
      </c>
      <c r="E40" s="5" t="s">
        <v>910</v>
      </c>
      <c r="F40" s="69">
        <v>6</v>
      </c>
      <c r="G40" s="7">
        <v>2516.3919999999998</v>
      </c>
      <c r="H40" s="89">
        <f>F40*G40</f>
        <v>15098.351999999999</v>
      </c>
      <c r="I40" s="89">
        <f t="shared" ref="I40:I41" si="18">H40*1.22</f>
        <v>18419.989439999998</v>
      </c>
    </row>
    <row r="41" spans="1:9" ht="36" x14ac:dyDescent="0.25">
      <c r="A41" s="4">
        <v>15</v>
      </c>
      <c r="B41" s="6" t="s">
        <v>8</v>
      </c>
      <c r="C41" s="9" t="s">
        <v>915</v>
      </c>
      <c r="D41" s="9" t="s">
        <v>916</v>
      </c>
      <c r="E41" s="258" t="s">
        <v>305</v>
      </c>
      <c r="F41" s="69">
        <v>3</v>
      </c>
      <c r="G41" s="7">
        <v>4210.3869999999997</v>
      </c>
      <c r="H41" s="89">
        <f>F41*G41</f>
        <v>12631.161</v>
      </c>
      <c r="I41" s="89">
        <f t="shared" si="18"/>
        <v>15410.01642</v>
      </c>
    </row>
    <row r="42" spans="1:9" ht="36" x14ac:dyDescent="0.25">
      <c r="A42" s="4">
        <v>16</v>
      </c>
      <c r="B42" s="6" t="s">
        <v>8</v>
      </c>
      <c r="C42" s="9" t="s">
        <v>915</v>
      </c>
      <c r="D42" s="9" t="s">
        <v>916</v>
      </c>
      <c r="E42" s="173" t="s">
        <v>924</v>
      </c>
      <c r="F42" s="69">
        <v>3</v>
      </c>
      <c r="G42" s="172">
        <v>29508.196</v>
      </c>
      <c r="H42" s="89">
        <f t="shared" si="16"/>
        <v>88524.588000000003</v>
      </c>
      <c r="I42" s="89">
        <f t="shared" si="17"/>
        <v>107999.99736000001</v>
      </c>
    </row>
    <row r="43" spans="1:9" ht="36" x14ac:dyDescent="0.25">
      <c r="A43" s="4">
        <v>17</v>
      </c>
      <c r="B43" s="6" t="s">
        <v>8</v>
      </c>
      <c r="C43" s="9" t="s">
        <v>915</v>
      </c>
      <c r="D43" s="9" t="s">
        <v>916</v>
      </c>
      <c r="E43" s="5" t="s">
        <v>912</v>
      </c>
      <c r="F43" s="6">
        <v>3</v>
      </c>
      <c r="G43" s="7">
        <v>6147.54</v>
      </c>
      <c r="H43" s="89">
        <f>F43*G43</f>
        <v>18442.62</v>
      </c>
      <c r="I43" s="89">
        <f>H43*1.22</f>
        <v>22499.9964</v>
      </c>
    </row>
    <row r="44" spans="1:9" ht="36" x14ac:dyDescent="0.25">
      <c r="A44" s="4">
        <v>18</v>
      </c>
      <c r="B44" s="6" t="s">
        <v>8</v>
      </c>
      <c r="C44" s="9" t="s">
        <v>915</v>
      </c>
      <c r="D44" s="9" t="s">
        <v>916</v>
      </c>
      <c r="E44" s="9" t="s">
        <v>913</v>
      </c>
      <c r="F44" s="6">
        <v>1</v>
      </c>
      <c r="G44" s="7">
        <v>60000</v>
      </c>
      <c r="H44" s="7">
        <f>F44*G44</f>
        <v>60000</v>
      </c>
      <c r="I44" s="7">
        <f>H44</f>
        <v>60000</v>
      </c>
    </row>
    <row r="45" spans="1:9" ht="36" x14ac:dyDescent="0.25">
      <c r="A45" s="4">
        <v>19</v>
      </c>
      <c r="B45" s="6" t="s">
        <v>8</v>
      </c>
      <c r="C45" s="9" t="s">
        <v>915</v>
      </c>
      <c r="D45" s="9" t="s">
        <v>916</v>
      </c>
      <c r="E45" s="5" t="s">
        <v>914</v>
      </c>
      <c r="F45" s="6">
        <v>9</v>
      </c>
      <c r="G45" s="7">
        <v>12295.082</v>
      </c>
      <c r="H45" s="89">
        <f t="shared" ref="H45" si="19">F45*G45</f>
        <v>110655.738</v>
      </c>
      <c r="I45" s="89">
        <f t="shared" ref="I45" si="20">H45*1.22</f>
        <v>135000.00036000001</v>
      </c>
    </row>
    <row r="46" spans="1:9" x14ac:dyDescent="0.25">
      <c r="A46" s="454" t="s">
        <v>59</v>
      </c>
      <c r="B46" s="455"/>
      <c r="C46" s="454"/>
      <c r="D46" s="454"/>
      <c r="E46" s="454"/>
      <c r="F46" s="454"/>
      <c r="G46" s="454"/>
      <c r="H46" s="454"/>
      <c r="I46" s="2">
        <f>SUM(I27:I45)</f>
        <v>1150499.9999800001</v>
      </c>
    </row>
  </sheetData>
  <autoFilter ref="A1:AI24"/>
  <mergeCells count="2">
    <mergeCell ref="A24:H24"/>
    <mergeCell ref="A46:H46"/>
  </mergeCells>
  <printOptions horizontalCentered="1"/>
  <pageMargins left="0" right="0" top="0.39370078740157483" bottom="0.39370078740157483" header="0.23622047244094491" footer="0.23622047244094491"/>
  <pageSetup paperSize="9" scale="56" orientation="landscape" horizontalDpi="4294967294" verticalDpi="4294967294" r:id="rId1"/>
  <headerFooter alignWithMargins="0">
    <oddHeader>&amp;C&amp;"Garamond,Normale"&amp;A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4"/>
  <sheetViews>
    <sheetView zoomScale="80" zoomScaleNormal="80" workbookViewId="0">
      <pane xSplit="1" topLeftCell="N1" activePane="topRight" state="frozen"/>
      <selection activeCell="P2" sqref="P2"/>
      <selection pane="topRight" activeCell="AF2" sqref="AF2"/>
    </sheetView>
  </sheetViews>
  <sheetFormatPr defaultColWidth="9.140625" defaultRowHeight="12" x14ac:dyDescent="0.25"/>
  <cols>
    <col min="1" max="1" width="4" style="13" bestFit="1" customWidth="1"/>
    <col min="2" max="2" width="6.28515625" style="13" customWidth="1"/>
    <col min="3" max="3" width="11.140625" style="12" bestFit="1" customWidth="1"/>
    <col min="4" max="4" width="18.28515625" style="12" bestFit="1" customWidth="1"/>
    <col min="5" max="5" width="29.28515625" style="12" customWidth="1"/>
    <col min="6" max="6" width="4.140625" style="13" bestFit="1" customWidth="1"/>
    <col min="7" max="7" width="12.140625" style="14" customWidth="1"/>
    <col min="8" max="9" width="14.7109375" style="14" bestFit="1" customWidth="1"/>
    <col min="10" max="10" width="8.7109375" style="14" bestFit="1" customWidth="1"/>
    <col min="11" max="11" width="14" style="14" customWidth="1"/>
    <col min="12" max="13" width="14.7109375" style="14" customWidth="1"/>
    <col min="14" max="14" width="4" style="13" customWidth="1"/>
    <col min="15" max="15" width="12" style="13" customWidth="1"/>
    <col min="16" max="16" width="11.85546875" style="13" bestFit="1" customWidth="1"/>
    <col min="17" max="17" width="11.5703125" style="13" bestFit="1" customWidth="1"/>
    <col min="18" max="18" width="13.140625" style="13" bestFit="1" customWidth="1"/>
    <col min="19" max="19" width="17.85546875" style="13" bestFit="1" customWidth="1"/>
    <col min="20" max="20" width="15.28515625" style="13" bestFit="1" customWidth="1"/>
    <col min="21" max="21" width="13.85546875" style="13" customWidth="1"/>
    <col min="22" max="22" width="12.5703125" style="13" customWidth="1"/>
    <col min="23" max="23" width="11.5703125" style="13" customWidth="1"/>
    <col min="24" max="24" width="12" style="13" customWidth="1"/>
    <col min="25" max="25" width="25.140625" style="12" customWidth="1"/>
    <col min="26" max="26" width="12" style="12" customWidth="1"/>
    <col min="27" max="27" width="11.7109375" style="12" customWidth="1"/>
    <col min="28" max="28" width="22.85546875" style="12" customWidth="1"/>
    <col min="29" max="29" width="11.85546875" style="12" customWidth="1"/>
    <col min="30" max="30" width="9.5703125" style="13" bestFit="1" customWidth="1"/>
    <col min="31" max="31" width="29" style="12" bestFit="1" customWidth="1"/>
    <col min="32" max="32" width="16.42578125" style="12" customWidth="1"/>
    <col min="33" max="33" width="17.140625" style="13" customWidth="1"/>
    <col min="34" max="34" width="24.7109375" style="13" bestFit="1" customWidth="1"/>
    <col min="35" max="35" width="34" style="13" customWidth="1"/>
    <col min="36" max="16384" width="9.140625" style="12"/>
  </cols>
  <sheetData>
    <row r="1" spans="1:35" s="170" customFormat="1" ht="48" x14ac:dyDescent="0.25">
      <c r="A1" s="169" t="s">
        <v>0</v>
      </c>
      <c r="B1" s="64" t="s">
        <v>1</v>
      </c>
      <c r="C1" s="64" t="s">
        <v>2</v>
      </c>
      <c r="D1" s="64" t="s">
        <v>3</v>
      </c>
      <c r="E1" s="64" t="s">
        <v>4</v>
      </c>
      <c r="F1" s="64" t="s">
        <v>5</v>
      </c>
      <c r="G1" s="18" t="s">
        <v>186</v>
      </c>
      <c r="H1" s="18" t="s">
        <v>92</v>
      </c>
      <c r="I1" s="18" t="s">
        <v>61</v>
      </c>
      <c r="J1" s="64" t="s">
        <v>5</v>
      </c>
      <c r="K1" s="18" t="s">
        <v>105</v>
      </c>
      <c r="L1" s="18" t="s">
        <v>92</v>
      </c>
      <c r="M1" s="18" t="s">
        <v>61</v>
      </c>
      <c r="N1" s="64" t="s">
        <v>5</v>
      </c>
      <c r="O1" s="18" t="s">
        <v>902</v>
      </c>
      <c r="P1" s="18" t="s">
        <v>92</v>
      </c>
      <c r="Q1" s="18" t="s">
        <v>61</v>
      </c>
      <c r="R1" s="18" t="s">
        <v>313</v>
      </c>
      <c r="S1" s="18" t="s">
        <v>93</v>
      </c>
      <c r="T1" s="47" t="s">
        <v>267</v>
      </c>
      <c r="U1" s="65" t="s">
        <v>106</v>
      </c>
      <c r="V1" s="65" t="s">
        <v>107</v>
      </c>
      <c r="W1" s="65" t="s">
        <v>108</v>
      </c>
      <c r="X1" s="65" t="s">
        <v>109</v>
      </c>
      <c r="Y1" s="63" t="s">
        <v>110</v>
      </c>
      <c r="Z1" s="63" t="s">
        <v>111</v>
      </c>
      <c r="AA1" s="63" t="s">
        <v>112</v>
      </c>
      <c r="AB1" s="63" t="s">
        <v>113</v>
      </c>
      <c r="AC1" s="64" t="s">
        <v>114</v>
      </c>
      <c r="AD1" s="63" t="s">
        <v>115</v>
      </c>
      <c r="AE1" s="63" t="s">
        <v>116</v>
      </c>
      <c r="AF1" s="63" t="s">
        <v>117</v>
      </c>
      <c r="AG1" s="64" t="s">
        <v>118</v>
      </c>
      <c r="AH1" s="64" t="s">
        <v>1544</v>
      </c>
      <c r="AI1" s="64" t="s">
        <v>1540</v>
      </c>
    </row>
    <row r="2" spans="1:35" ht="36" x14ac:dyDescent="0.25">
      <c r="A2" s="96">
        <v>1</v>
      </c>
      <c r="B2" s="91" t="s">
        <v>8</v>
      </c>
      <c r="C2" s="97" t="s">
        <v>931</v>
      </c>
      <c r="D2" s="97" t="s">
        <v>930</v>
      </c>
      <c r="E2" s="225" t="s">
        <v>932</v>
      </c>
      <c r="F2" s="129">
        <v>4</v>
      </c>
      <c r="G2" s="226">
        <v>4750</v>
      </c>
      <c r="H2" s="210">
        <f t="shared" ref="H2" si="0">F2*G2</f>
        <v>19000</v>
      </c>
      <c r="I2" s="210">
        <f>H2*1.22</f>
        <v>23180</v>
      </c>
      <c r="J2" s="132">
        <v>4</v>
      </c>
      <c r="K2" s="93">
        <v>4868.75</v>
      </c>
      <c r="L2" s="93">
        <f>K2*J2</f>
        <v>19475</v>
      </c>
      <c r="M2" s="93">
        <f>L2*1.22</f>
        <v>23759.5</v>
      </c>
      <c r="N2" s="132">
        <v>4</v>
      </c>
      <c r="O2" s="93">
        <f>P2/N2</f>
        <v>2912.1</v>
      </c>
      <c r="P2" s="93">
        <v>11648.4</v>
      </c>
      <c r="Q2" s="93">
        <f>P2</f>
        <v>11648.4</v>
      </c>
      <c r="R2" s="85">
        <v>2020</v>
      </c>
      <c r="S2" s="93">
        <f>I2-Q2</f>
        <v>11531.6</v>
      </c>
      <c r="T2" s="106">
        <f t="shared" ref="T2:T15" si="1">1-Q2/M2</f>
        <v>0.5097371577684715</v>
      </c>
      <c r="U2" s="108">
        <v>43678</v>
      </c>
      <c r="V2" s="108">
        <v>43735</v>
      </c>
      <c r="W2" s="108">
        <v>44110</v>
      </c>
      <c r="X2" s="108">
        <v>44116</v>
      </c>
      <c r="Y2" s="86" t="s">
        <v>1448</v>
      </c>
      <c r="Z2" s="91" t="s">
        <v>1456</v>
      </c>
      <c r="AA2" s="86">
        <v>7970571344</v>
      </c>
      <c r="AB2" s="86" t="s">
        <v>1269</v>
      </c>
      <c r="AC2" s="101" t="s">
        <v>1457</v>
      </c>
      <c r="AD2" s="101">
        <v>44216</v>
      </c>
      <c r="AE2" s="91" t="s">
        <v>2085</v>
      </c>
      <c r="AF2" s="91" t="s">
        <v>1594</v>
      </c>
      <c r="AG2" s="109" t="s">
        <v>1501</v>
      </c>
      <c r="AH2" s="91" t="s">
        <v>1560</v>
      </c>
      <c r="AI2" s="91" t="s">
        <v>1541</v>
      </c>
    </row>
    <row r="3" spans="1:35" x14ac:dyDescent="0.25">
      <c r="A3" s="4">
        <v>2</v>
      </c>
      <c r="B3" s="69" t="s">
        <v>8</v>
      </c>
      <c r="C3" s="5" t="s">
        <v>931</v>
      </c>
      <c r="D3" s="171" t="s">
        <v>930</v>
      </c>
      <c r="E3" s="5" t="s">
        <v>976</v>
      </c>
      <c r="F3" s="6">
        <v>1</v>
      </c>
      <c r="G3" s="7">
        <v>1000</v>
      </c>
      <c r="H3" s="89">
        <f>F3*G3</f>
        <v>1000</v>
      </c>
      <c r="I3" s="89">
        <f t="shared" ref="I3:I4" si="2">H3*1.22</f>
        <v>1220</v>
      </c>
      <c r="J3" s="6"/>
      <c r="K3" s="89"/>
      <c r="L3" s="89"/>
      <c r="M3" s="89"/>
      <c r="N3" s="6"/>
      <c r="O3" s="7"/>
      <c r="P3" s="7"/>
      <c r="Q3" s="7"/>
      <c r="R3" s="6"/>
      <c r="S3" s="7"/>
      <c r="T3" s="6" t="e">
        <f t="shared" si="1"/>
        <v>#DIV/0!</v>
      </c>
      <c r="U3" s="20"/>
      <c r="V3" s="20"/>
      <c r="W3" s="6"/>
      <c r="X3" s="6"/>
      <c r="Y3" s="5"/>
      <c r="Z3" s="5"/>
      <c r="AA3" s="6"/>
      <c r="AB3" s="5"/>
      <c r="AC3" s="5"/>
      <c r="AD3" s="6"/>
      <c r="AE3" s="5"/>
      <c r="AF3" s="5"/>
      <c r="AG3" s="6"/>
      <c r="AH3" s="6" t="s">
        <v>8</v>
      </c>
      <c r="AI3" s="6" t="s">
        <v>1547</v>
      </c>
    </row>
    <row r="4" spans="1:35" ht="48" x14ac:dyDescent="0.25">
      <c r="A4" s="96">
        <v>3</v>
      </c>
      <c r="B4" s="91" t="s">
        <v>8</v>
      </c>
      <c r="C4" s="97" t="s">
        <v>931</v>
      </c>
      <c r="D4" s="97" t="s">
        <v>930</v>
      </c>
      <c r="E4" s="225" t="s">
        <v>52</v>
      </c>
      <c r="F4" s="129">
        <v>2</v>
      </c>
      <c r="G4" s="226">
        <v>2000</v>
      </c>
      <c r="H4" s="210">
        <f>F4*G4</f>
        <v>4000</v>
      </c>
      <c r="I4" s="210">
        <f t="shared" si="2"/>
        <v>4880</v>
      </c>
      <c r="J4" s="132">
        <v>2</v>
      </c>
      <c r="K4" s="93">
        <v>1700</v>
      </c>
      <c r="L4" s="93">
        <f>K4*J4</f>
        <v>3400</v>
      </c>
      <c r="M4" s="93">
        <f>L4*1.22</f>
        <v>4148</v>
      </c>
      <c r="N4" s="132">
        <v>2</v>
      </c>
      <c r="O4" s="93">
        <v>1680</v>
      </c>
      <c r="P4" s="93">
        <f t="shared" ref="P4:P5" si="3">N4*O4</f>
        <v>3360</v>
      </c>
      <c r="Q4" s="93">
        <f t="shared" ref="Q4:Q5" si="4">P4*1.22</f>
        <v>4099.2</v>
      </c>
      <c r="R4" s="85">
        <v>2019</v>
      </c>
      <c r="S4" s="93">
        <f>I4-Q4</f>
        <v>780.80000000000018</v>
      </c>
      <c r="T4" s="106">
        <f t="shared" si="1"/>
        <v>1.176470588235301E-2</v>
      </c>
      <c r="U4" s="108">
        <v>43493</v>
      </c>
      <c r="V4" s="108">
        <v>43510</v>
      </c>
      <c r="W4" s="108">
        <v>43607</v>
      </c>
      <c r="X4" s="108">
        <v>43620</v>
      </c>
      <c r="Y4" s="86" t="s">
        <v>1511</v>
      </c>
      <c r="Z4" s="91" t="s">
        <v>1515</v>
      </c>
      <c r="AA4" s="86" t="s">
        <v>1071</v>
      </c>
      <c r="AB4" s="86" t="s">
        <v>1512</v>
      </c>
      <c r="AC4" s="101">
        <v>43742</v>
      </c>
      <c r="AD4" s="101">
        <v>43789</v>
      </c>
      <c r="AE4" s="91" t="s">
        <v>1299</v>
      </c>
      <c r="AF4" s="91" t="s">
        <v>1594</v>
      </c>
      <c r="AG4" s="109" t="s">
        <v>1503</v>
      </c>
      <c r="AH4" s="91" t="s">
        <v>8</v>
      </c>
      <c r="AI4" s="91" t="s">
        <v>1541</v>
      </c>
    </row>
    <row r="5" spans="1:35" x14ac:dyDescent="0.25">
      <c r="A5" s="4">
        <v>4</v>
      </c>
      <c r="B5" s="69" t="s">
        <v>8</v>
      </c>
      <c r="C5" s="5" t="s">
        <v>931</v>
      </c>
      <c r="D5" s="171" t="s">
        <v>930</v>
      </c>
      <c r="E5" s="5" t="s">
        <v>936</v>
      </c>
      <c r="F5" s="6">
        <v>1</v>
      </c>
      <c r="G5" s="7">
        <v>1500</v>
      </c>
      <c r="H5" s="89">
        <f>F5*G5</f>
        <v>1500</v>
      </c>
      <c r="I5" s="89">
        <f>H5*1.22</f>
        <v>1830</v>
      </c>
      <c r="J5" s="6"/>
      <c r="K5" s="89"/>
      <c r="L5" s="89"/>
      <c r="M5" s="89"/>
      <c r="N5" s="6"/>
      <c r="O5" s="7"/>
      <c r="P5" s="7">
        <f t="shared" si="3"/>
        <v>0</v>
      </c>
      <c r="Q5" s="7">
        <f t="shared" si="4"/>
        <v>0</v>
      </c>
      <c r="R5" s="6"/>
      <c r="S5" s="7">
        <f t="shared" ref="S5:S15" si="5">M5-Q5</f>
        <v>0</v>
      </c>
      <c r="T5" s="6" t="e">
        <f t="shared" si="1"/>
        <v>#DIV/0!</v>
      </c>
      <c r="U5" s="20"/>
      <c r="V5" s="20"/>
      <c r="W5" s="6"/>
      <c r="X5" s="6"/>
      <c r="Y5" s="5"/>
      <c r="Z5" s="5"/>
      <c r="AA5" s="6"/>
      <c r="AB5" s="5"/>
      <c r="AC5" s="5"/>
      <c r="AD5" s="6"/>
      <c r="AE5" s="5"/>
      <c r="AF5" s="5"/>
      <c r="AG5" s="6"/>
      <c r="AH5" s="6" t="s">
        <v>8</v>
      </c>
      <c r="AI5" s="6" t="s">
        <v>1547</v>
      </c>
    </row>
    <row r="6" spans="1:35" x14ac:dyDescent="0.25">
      <c r="A6" s="4">
        <v>5</v>
      </c>
      <c r="B6" s="69" t="s">
        <v>8</v>
      </c>
      <c r="C6" s="5" t="s">
        <v>931</v>
      </c>
      <c r="D6" s="171" t="s">
        <v>930</v>
      </c>
      <c r="E6" s="5" t="s">
        <v>940</v>
      </c>
      <c r="F6" s="6">
        <v>5</v>
      </c>
      <c r="G6" s="7">
        <v>1000</v>
      </c>
      <c r="H6" s="89">
        <f t="shared" ref="H6:H13" si="6">F6*G6</f>
        <v>5000</v>
      </c>
      <c r="I6" s="89">
        <f t="shared" ref="I6:I13" si="7">H6*1.22</f>
        <v>6100</v>
      </c>
      <c r="J6" s="6"/>
      <c r="K6" s="89"/>
      <c r="L6" s="89"/>
      <c r="M6" s="89"/>
      <c r="N6" s="6"/>
      <c r="O6" s="7"/>
      <c r="P6" s="7">
        <f t="shared" ref="P6:P15" si="8">N6*O6</f>
        <v>0</v>
      </c>
      <c r="Q6" s="7">
        <f t="shared" ref="Q6:Q15" si="9">P6*1.22</f>
        <v>0</v>
      </c>
      <c r="R6" s="6"/>
      <c r="S6" s="7">
        <f t="shared" si="5"/>
        <v>0</v>
      </c>
      <c r="T6" s="6"/>
      <c r="U6" s="20"/>
      <c r="V6" s="20"/>
      <c r="W6" s="6"/>
      <c r="X6" s="6"/>
      <c r="Y6" s="5"/>
      <c r="Z6" s="5"/>
      <c r="AA6" s="6"/>
      <c r="AB6" s="5"/>
      <c r="AC6" s="5"/>
      <c r="AD6" s="6"/>
      <c r="AE6" s="5"/>
      <c r="AF6" s="5"/>
      <c r="AG6" s="6"/>
      <c r="AH6" s="6" t="s">
        <v>8</v>
      </c>
      <c r="AI6" s="6" t="s">
        <v>1547</v>
      </c>
    </row>
    <row r="7" spans="1:35" x14ac:dyDescent="0.25">
      <c r="A7" s="4">
        <v>6</v>
      </c>
      <c r="B7" s="69" t="s">
        <v>8</v>
      </c>
      <c r="C7" s="5" t="s">
        <v>931</v>
      </c>
      <c r="D7" s="171" t="s">
        <v>930</v>
      </c>
      <c r="E7" s="5" t="s">
        <v>941</v>
      </c>
      <c r="F7" s="6">
        <v>1</v>
      </c>
      <c r="G7" s="7">
        <v>4000</v>
      </c>
      <c r="H7" s="89">
        <f t="shared" si="6"/>
        <v>4000</v>
      </c>
      <c r="I7" s="89">
        <f t="shared" si="7"/>
        <v>4880</v>
      </c>
      <c r="J7" s="6"/>
      <c r="K7" s="89"/>
      <c r="L7" s="89"/>
      <c r="M7" s="89"/>
      <c r="N7" s="6"/>
      <c r="O7" s="7"/>
      <c r="P7" s="7">
        <f t="shared" si="8"/>
        <v>0</v>
      </c>
      <c r="Q7" s="7">
        <f t="shared" si="9"/>
        <v>0</v>
      </c>
      <c r="R7" s="6"/>
      <c r="S7" s="7">
        <f t="shared" si="5"/>
        <v>0</v>
      </c>
      <c r="T7" s="6"/>
      <c r="U7" s="20"/>
      <c r="V7" s="20"/>
      <c r="W7" s="6"/>
      <c r="X7" s="6"/>
      <c r="Y7" s="5"/>
      <c r="Z7" s="5"/>
      <c r="AA7" s="6"/>
      <c r="AB7" s="5"/>
      <c r="AC7" s="5"/>
      <c r="AD7" s="6"/>
      <c r="AE7" s="5"/>
      <c r="AF7" s="5"/>
      <c r="AG7" s="6"/>
      <c r="AH7" s="6" t="s">
        <v>8</v>
      </c>
      <c r="AI7" s="6" t="s">
        <v>1547</v>
      </c>
    </row>
    <row r="8" spans="1:35" x14ac:dyDescent="0.25">
      <c r="A8" s="4">
        <v>7</v>
      </c>
      <c r="B8" s="69" t="s">
        <v>8</v>
      </c>
      <c r="C8" s="5" t="s">
        <v>931</v>
      </c>
      <c r="D8" s="171" t="s">
        <v>930</v>
      </c>
      <c r="E8" s="5" t="s">
        <v>942</v>
      </c>
      <c r="F8" s="6">
        <v>7</v>
      </c>
      <c r="G8" s="7">
        <v>2000</v>
      </c>
      <c r="H8" s="89">
        <f t="shared" si="6"/>
        <v>14000</v>
      </c>
      <c r="I8" s="89">
        <f t="shared" si="7"/>
        <v>17080</v>
      </c>
      <c r="J8" s="6"/>
      <c r="K8" s="89"/>
      <c r="L8" s="89"/>
      <c r="M8" s="89"/>
      <c r="N8" s="6"/>
      <c r="O8" s="7"/>
      <c r="P8" s="7">
        <f t="shared" si="8"/>
        <v>0</v>
      </c>
      <c r="Q8" s="7">
        <f t="shared" si="9"/>
        <v>0</v>
      </c>
      <c r="R8" s="6"/>
      <c r="S8" s="7">
        <f t="shared" si="5"/>
        <v>0</v>
      </c>
      <c r="T8" s="6"/>
      <c r="U8" s="20"/>
      <c r="V8" s="20"/>
      <c r="W8" s="6"/>
      <c r="X8" s="6"/>
      <c r="Y8" s="5"/>
      <c r="Z8" s="5"/>
      <c r="AA8" s="6"/>
      <c r="AB8" s="5"/>
      <c r="AC8" s="5"/>
      <c r="AD8" s="6"/>
      <c r="AE8" s="5"/>
      <c r="AF8" s="5"/>
      <c r="AG8" s="6"/>
      <c r="AH8" s="6" t="s">
        <v>8</v>
      </c>
      <c r="AI8" s="6" t="s">
        <v>1547</v>
      </c>
    </row>
    <row r="9" spans="1:35" x14ac:dyDescent="0.25">
      <c r="A9" s="4">
        <v>8</v>
      </c>
      <c r="B9" s="69" t="s">
        <v>8</v>
      </c>
      <c r="C9" s="5" t="s">
        <v>931</v>
      </c>
      <c r="D9" s="171" t="s">
        <v>930</v>
      </c>
      <c r="E9" s="5" t="s">
        <v>943</v>
      </c>
      <c r="F9" s="6">
        <v>1</v>
      </c>
      <c r="G9" s="7">
        <v>2000</v>
      </c>
      <c r="H9" s="89">
        <f t="shared" si="6"/>
        <v>2000</v>
      </c>
      <c r="I9" s="89">
        <f t="shared" si="7"/>
        <v>2440</v>
      </c>
      <c r="J9" s="6"/>
      <c r="K9" s="89"/>
      <c r="L9" s="89"/>
      <c r="M9" s="89"/>
      <c r="N9" s="6"/>
      <c r="O9" s="7"/>
      <c r="P9" s="7">
        <f t="shared" si="8"/>
        <v>0</v>
      </c>
      <c r="Q9" s="7">
        <f t="shared" si="9"/>
        <v>0</v>
      </c>
      <c r="R9" s="6"/>
      <c r="S9" s="7">
        <f t="shared" si="5"/>
        <v>0</v>
      </c>
      <c r="T9" s="6"/>
      <c r="U9" s="20"/>
      <c r="V9" s="20"/>
      <c r="W9" s="6"/>
      <c r="X9" s="6"/>
      <c r="Y9" s="5"/>
      <c r="Z9" s="5"/>
      <c r="AA9" s="6"/>
      <c r="AB9" s="5"/>
      <c r="AC9" s="5"/>
      <c r="AD9" s="6"/>
      <c r="AE9" s="5"/>
      <c r="AF9" s="5"/>
      <c r="AG9" s="6"/>
      <c r="AH9" s="6" t="s">
        <v>8</v>
      </c>
      <c r="AI9" s="6" t="s">
        <v>1547</v>
      </c>
    </row>
    <row r="10" spans="1:35" x14ac:dyDescent="0.25">
      <c r="A10" s="4">
        <v>9</v>
      </c>
      <c r="B10" s="69" t="s">
        <v>8</v>
      </c>
      <c r="C10" s="5" t="s">
        <v>931</v>
      </c>
      <c r="D10" s="171" t="s">
        <v>930</v>
      </c>
      <c r="E10" s="5" t="s">
        <v>908</v>
      </c>
      <c r="F10" s="6">
        <v>1</v>
      </c>
      <c r="G10" s="7">
        <v>1500</v>
      </c>
      <c r="H10" s="89">
        <f t="shared" si="6"/>
        <v>1500</v>
      </c>
      <c r="I10" s="89">
        <f t="shared" si="7"/>
        <v>1830</v>
      </c>
      <c r="J10" s="6"/>
      <c r="K10" s="89"/>
      <c r="L10" s="89"/>
      <c r="M10" s="89"/>
      <c r="N10" s="6"/>
      <c r="O10" s="7"/>
      <c r="P10" s="7">
        <f t="shared" si="8"/>
        <v>0</v>
      </c>
      <c r="Q10" s="7">
        <f t="shared" si="9"/>
        <v>0</v>
      </c>
      <c r="R10" s="6"/>
      <c r="S10" s="7">
        <f t="shared" si="5"/>
        <v>0</v>
      </c>
      <c r="T10" s="6"/>
      <c r="U10" s="20"/>
      <c r="V10" s="20"/>
      <c r="W10" s="6"/>
      <c r="X10" s="6"/>
      <c r="Y10" s="5"/>
      <c r="Z10" s="5"/>
      <c r="AA10" s="6"/>
      <c r="AB10" s="5"/>
      <c r="AC10" s="5"/>
      <c r="AD10" s="6"/>
      <c r="AE10" s="5"/>
      <c r="AF10" s="5"/>
      <c r="AG10" s="6"/>
      <c r="AH10" s="6" t="s">
        <v>8</v>
      </c>
      <c r="AI10" s="6" t="s">
        <v>1547</v>
      </c>
    </row>
    <row r="11" spans="1:35" x14ac:dyDescent="0.25">
      <c r="A11" s="4">
        <v>10</v>
      </c>
      <c r="B11" s="69" t="s">
        <v>8</v>
      </c>
      <c r="C11" s="5" t="s">
        <v>931</v>
      </c>
      <c r="D11" s="171" t="s">
        <v>930</v>
      </c>
      <c r="E11" s="5" t="s">
        <v>977</v>
      </c>
      <c r="F11" s="6">
        <v>1</v>
      </c>
      <c r="G11" s="7">
        <v>1300</v>
      </c>
      <c r="H11" s="89">
        <f t="shared" si="6"/>
        <v>1300</v>
      </c>
      <c r="I11" s="89">
        <f t="shared" si="7"/>
        <v>1586</v>
      </c>
      <c r="J11" s="6"/>
      <c r="K11" s="89"/>
      <c r="L11" s="89"/>
      <c r="M11" s="89"/>
      <c r="N11" s="6"/>
      <c r="O11" s="7"/>
      <c r="P11" s="7">
        <f t="shared" si="8"/>
        <v>0</v>
      </c>
      <c r="Q11" s="7">
        <f t="shared" si="9"/>
        <v>0</v>
      </c>
      <c r="R11" s="6"/>
      <c r="S11" s="7">
        <f t="shared" si="5"/>
        <v>0</v>
      </c>
      <c r="T11" s="6"/>
      <c r="U11" s="20"/>
      <c r="V11" s="20"/>
      <c r="W11" s="6"/>
      <c r="X11" s="6"/>
      <c r="Y11" s="5"/>
      <c r="Z11" s="5"/>
      <c r="AA11" s="6"/>
      <c r="AB11" s="5"/>
      <c r="AC11" s="5"/>
      <c r="AD11" s="6"/>
      <c r="AE11" s="5"/>
      <c r="AF11" s="5"/>
      <c r="AG11" s="6"/>
      <c r="AH11" s="6" t="s">
        <v>8</v>
      </c>
      <c r="AI11" s="6" t="s">
        <v>1547</v>
      </c>
    </row>
    <row r="12" spans="1:35" x14ac:dyDescent="0.25">
      <c r="A12" s="4">
        <v>11</v>
      </c>
      <c r="B12" s="69" t="s">
        <v>8</v>
      </c>
      <c r="C12" s="5" t="s">
        <v>931</v>
      </c>
      <c r="D12" s="171" t="s">
        <v>930</v>
      </c>
      <c r="E12" s="5" t="s">
        <v>978</v>
      </c>
      <c r="F12" s="6">
        <v>2</v>
      </c>
      <c r="G12" s="7">
        <v>1000</v>
      </c>
      <c r="H12" s="89">
        <f t="shared" si="6"/>
        <v>2000</v>
      </c>
      <c r="I12" s="89">
        <f t="shared" si="7"/>
        <v>2440</v>
      </c>
      <c r="J12" s="6"/>
      <c r="K12" s="89"/>
      <c r="L12" s="89"/>
      <c r="M12" s="89"/>
      <c r="N12" s="6"/>
      <c r="O12" s="7"/>
      <c r="P12" s="7">
        <f t="shared" si="8"/>
        <v>0</v>
      </c>
      <c r="Q12" s="7">
        <f t="shared" si="9"/>
        <v>0</v>
      </c>
      <c r="R12" s="6"/>
      <c r="S12" s="7">
        <f t="shared" si="5"/>
        <v>0</v>
      </c>
      <c r="T12" s="6"/>
      <c r="U12" s="20"/>
      <c r="V12" s="20"/>
      <c r="W12" s="6"/>
      <c r="X12" s="6"/>
      <c r="Y12" s="5"/>
      <c r="Z12" s="5"/>
      <c r="AA12" s="6"/>
      <c r="AB12" s="5"/>
      <c r="AC12" s="5"/>
      <c r="AD12" s="6"/>
      <c r="AE12" s="5"/>
      <c r="AF12" s="5"/>
      <c r="AG12" s="6"/>
      <c r="AH12" s="6" t="s">
        <v>8</v>
      </c>
      <c r="AI12" s="6" t="s">
        <v>1547</v>
      </c>
    </row>
    <row r="13" spans="1:35" x14ac:dyDescent="0.25">
      <c r="A13" s="4">
        <v>12</v>
      </c>
      <c r="B13" s="69" t="s">
        <v>8</v>
      </c>
      <c r="C13" s="5" t="s">
        <v>931</v>
      </c>
      <c r="D13" s="171" t="s">
        <v>930</v>
      </c>
      <c r="E13" s="5" t="s">
        <v>979</v>
      </c>
      <c r="F13" s="6">
        <v>1</v>
      </c>
      <c r="G13" s="7">
        <v>1000</v>
      </c>
      <c r="H13" s="89">
        <f t="shared" si="6"/>
        <v>1000</v>
      </c>
      <c r="I13" s="89">
        <f t="shared" si="7"/>
        <v>1220</v>
      </c>
      <c r="J13" s="6"/>
      <c r="K13" s="89"/>
      <c r="L13" s="89"/>
      <c r="M13" s="89"/>
      <c r="N13" s="6"/>
      <c r="O13" s="7"/>
      <c r="P13" s="7">
        <f t="shared" si="8"/>
        <v>0</v>
      </c>
      <c r="Q13" s="7">
        <f t="shared" si="9"/>
        <v>0</v>
      </c>
      <c r="R13" s="6"/>
      <c r="S13" s="7">
        <f t="shared" si="5"/>
        <v>0</v>
      </c>
      <c r="T13" s="6"/>
      <c r="U13" s="20"/>
      <c r="V13" s="20"/>
      <c r="W13" s="6"/>
      <c r="X13" s="6"/>
      <c r="Y13" s="5"/>
      <c r="Z13" s="5"/>
      <c r="AA13" s="6"/>
      <c r="AB13" s="5"/>
      <c r="AC13" s="5"/>
      <c r="AD13" s="6"/>
      <c r="AE13" s="5"/>
      <c r="AF13" s="5"/>
      <c r="AG13" s="6"/>
      <c r="AH13" s="6" t="s">
        <v>8</v>
      </c>
      <c r="AI13" s="6" t="s">
        <v>1547</v>
      </c>
    </row>
    <row r="14" spans="1:35" x14ac:dyDescent="0.25">
      <c r="A14" s="4">
        <v>13</v>
      </c>
      <c r="B14" s="69" t="s">
        <v>8</v>
      </c>
      <c r="C14" s="5" t="s">
        <v>931</v>
      </c>
      <c r="D14" s="171" t="s">
        <v>930</v>
      </c>
      <c r="E14" s="5" t="s">
        <v>985</v>
      </c>
      <c r="F14" s="6">
        <v>5</v>
      </c>
      <c r="G14" s="7">
        <v>309.96800000000002</v>
      </c>
      <c r="H14" s="89">
        <f t="shared" ref="H14:H16" si="10">F14*G14</f>
        <v>1549.8400000000001</v>
      </c>
      <c r="I14" s="89">
        <f t="shared" ref="I14:I16" si="11">H14*1.22</f>
        <v>1890.8048000000001</v>
      </c>
      <c r="J14" s="6"/>
      <c r="K14" s="89"/>
      <c r="L14" s="89"/>
      <c r="M14" s="89"/>
      <c r="N14" s="6"/>
      <c r="O14" s="7"/>
      <c r="P14" s="7">
        <f t="shared" si="8"/>
        <v>0</v>
      </c>
      <c r="Q14" s="7">
        <f t="shared" si="9"/>
        <v>0</v>
      </c>
      <c r="R14" s="6"/>
      <c r="S14" s="7">
        <f t="shared" si="5"/>
        <v>0</v>
      </c>
      <c r="T14" s="6" t="e">
        <f t="shared" si="1"/>
        <v>#DIV/0!</v>
      </c>
      <c r="U14" s="20"/>
      <c r="V14" s="20"/>
      <c r="W14" s="6"/>
      <c r="X14" s="6"/>
      <c r="Y14" s="5"/>
      <c r="Z14" s="5"/>
      <c r="AA14" s="6"/>
      <c r="AB14" s="5"/>
      <c r="AC14" s="5"/>
      <c r="AD14" s="6"/>
      <c r="AE14" s="5"/>
      <c r="AF14" s="5"/>
      <c r="AG14" s="6"/>
      <c r="AH14" s="6" t="s">
        <v>8</v>
      </c>
      <c r="AI14" s="6" t="s">
        <v>1547</v>
      </c>
    </row>
    <row r="15" spans="1:35" x14ac:dyDescent="0.25">
      <c r="A15" s="4">
        <v>14</v>
      </c>
      <c r="B15" s="69" t="s">
        <v>8</v>
      </c>
      <c r="C15" s="5" t="s">
        <v>931</v>
      </c>
      <c r="D15" s="171" t="s">
        <v>930</v>
      </c>
      <c r="E15" s="5" t="s">
        <v>980</v>
      </c>
      <c r="F15" s="6">
        <v>12</v>
      </c>
      <c r="G15" s="7">
        <v>130</v>
      </c>
      <c r="H15" s="89">
        <f t="shared" si="10"/>
        <v>1560</v>
      </c>
      <c r="I15" s="89">
        <f t="shared" si="11"/>
        <v>1903.2</v>
      </c>
      <c r="J15" s="6"/>
      <c r="K15" s="89"/>
      <c r="L15" s="89"/>
      <c r="M15" s="89"/>
      <c r="N15" s="6"/>
      <c r="O15" s="7"/>
      <c r="P15" s="7">
        <f t="shared" si="8"/>
        <v>0</v>
      </c>
      <c r="Q15" s="7">
        <f t="shared" si="9"/>
        <v>0</v>
      </c>
      <c r="R15" s="6"/>
      <c r="S15" s="7">
        <f t="shared" si="5"/>
        <v>0</v>
      </c>
      <c r="T15" s="6" t="e">
        <f t="shared" si="1"/>
        <v>#DIV/0!</v>
      </c>
      <c r="U15" s="20"/>
      <c r="V15" s="20"/>
      <c r="W15" s="6"/>
      <c r="X15" s="6"/>
      <c r="Y15" s="5"/>
      <c r="Z15" s="5"/>
      <c r="AA15" s="6"/>
      <c r="AB15" s="5"/>
      <c r="AC15" s="5"/>
      <c r="AD15" s="6"/>
      <c r="AE15" s="5"/>
      <c r="AF15" s="5"/>
      <c r="AG15" s="6"/>
      <c r="AH15" s="6" t="s">
        <v>8</v>
      </c>
      <c r="AI15" s="6" t="s">
        <v>1547</v>
      </c>
    </row>
    <row r="16" spans="1:35" x14ac:dyDescent="0.25">
      <c r="A16" s="4">
        <v>15</v>
      </c>
      <c r="B16" s="69" t="s">
        <v>8</v>
      </c>
      <c r="C16" s="5" t="s">
        <v>931</v>
      </c>
      <c r="D16" s="171" t="s">
        <v>930</v>
      </c>
      <c r="E16" s="5" t="s">
        <v>210</v>
      </c>
      <c r="F16" s="6">
        <v>1</v>
      </c>
      <c r="G16" s="7">
        <v>65000</v>
      </c>
      <c r="H16" s="89">
        <f t="shared" si="10"/>
        <v>65000</v>
      </c>
      <c r="I16" s="89">
        <f t="shared" si="11"/>
        <v>79300</v>
      </c>
      <c r="J16" s="6"/>
      <c r="K16" s="89"/>
      <c r="L16" s="89"/>
      <c r="M16" s="89"/>
      <c r="N16" s="6"/>
      <c r="O16" s="7"/>
      <c r="P16" s="7"/>
      <c r="Q16" s="7"/>
      <c r="R16" s="6"/>
      <c r="S16" s="7"/>
      <c r="T16" s="6"/>
      <c r="U16" s="20"/>
      <c r="V16" s="20"/>
      <c r="W16" s="6"/>
      <c r="X16" s="6"/>
      <c r="Y16" s="5"/>
      <c r="Z16" s="5"/>
      <c r="AA16" s="6"/>
      <c r="AB16" s="5"/>
      <c r="AC16" s="5"/>
      <c r="AD16" s="6"/>
      <c r="AE16" s="5"/>
      <c r="AF16" s="5"/>
      <c r="AG16" s="6"/>
      <c r="AH16" s="6" t="s">
        <v>8</v>
      </c>
      <c r="AI16" s="6" t="s">
        <v>1547</v>
      </c>
    </row>
    <row r="17" spans="1:35" x14ac:dyDescent="0.25">
      <c r="A17" s="4">
        <v>16</v>
      </c>
      <c r="B17" s="69" t="s">
        <v>8</v>
      </c>
      <c r="C17" s="5" t="s">
        <v>931</v>
      </c>
      <c r="D17" s="171" t="s">
        <v>930</v>
      </c>
      <c r="E17" s="5" t="s">
        <v>944</v>
      </c>
      <c r="F17" s="6">
        <v>1</v>
      </c>
      <c r="G17" s="7">
        <v>64000</v>
      </c>
      <c r="H17" s="89">
        <f>F17*G17</f>
        <v>64000</v>
      </c>
      <c r="I17" s="89">
        <f>H17*1.22</f>
        <v>78080</v>
      </c>
      <c r="J17" s="6"/>
      <c r="K17" s="89"/>
      <c r="L17" s="89"/>
      <c r="M17" s="89"/>
      <c r="N17" s="6"/>
      <c r="O17" s="7"/>
      <c r="P17" s="7"/>
      <c r="Q17" s="7"/>
      <c r="R17" s="6"/>
      <c r="S17" s="7"/>
      <c r="T17" s="6"/>
      <c r="U17" s="20"/>
      <c r="V17" s="20"/>
      <c r="W17" s="6"/>
      <c r="X17" s="6"/>
      <c r="Y17" s="5"/>
      <c r="Z17" s="5"/>
      <c r="AA17" s="6"/>
      <c r="AB17" s="5"/>
      <c r="AC17" s="5"/>
      <c r="AD17" s="6"/>
      <c r="AE17" s="5"/>
      <c r="AF17" s="5"/>
      <c r="AG17" s="6"/>
      <c r="AH17" s="6" t="s">
        <v>8</v>
      </c>
      <c r="AI17" s="6" t="s">
        <v>1547</v>
      </c>
    </row>
    <row r="18" spans="1:35" ht="60" x14ac:dyDescent="0.25">
      <c r="A18" s="4">
        <v>17</v>
      </c>
      <c r="B18" s="69" t="s">
        <v>8</v>
      </c>
      <c r="C18" s="5" t="s">
        <v>931</v>
      </c>
      <c r="D18" s="171" t="s">
        <v>930</v>
      </c>
      <c r="E18" s="5" t="s">
        <v>934</v>
      </c>
      <c r="F18" s="6">
        <v>1</v>
      </c>
      <c r="G18" s="7">
        <v>29000</v>
      </c>
      <c r="H18" s="89">
        <f>F18*G18</f>
        <v>29000</v>
      </c>
      <c r="I18" s="89">
        <f>H18*1.22</f>
        <v>35380</v>
      </c>
      <c r="J18" s="6"/>
      <c r="K18" s="89"/>
      <c r="L18" s="89"/>
      <c r="M18" s="89"/>
      <c r="N18" s="6"/>
      <c r="O18" s="7"/>
      <c r="P18" s="7"/>
      <c r="Q18" s="7"/>
      <c r="R18" s="6"/>
      <c r="S18" s="7"/>
      <c r="T18" s="6"/>
      <c r="U18" s="20"/>
      <c r="V18" s="20"/>
      <c r="W18" s="6"/>
      <c r="X18" s="6"/>
      <c r="Y18" s="5"/>
      <c r="Z18" s="5"/>
      <c r="AA18" s="6"/>
      <c r="AB18" s="5"/>
      <c r="AC18" s="5"/>
      <c r="AD18" s="6"/>
      <c r="AE18" s="5"/>
      <c r="AF18" s="5"/>
      <c r="AG18" s="6"/>
      <c r="AH18" s="6" t="s">
        <v>8</v>
      </c>
      <c r="AI18" s="6" t="s">
        <v>1547</v>
      </c>
    </row>
    <row r="19" spans="1:35" x14ac:dyDescent="0.25">
      <c r="A19" s="4">
        <v>18</v>
      </c>
      <c r="B19" s="69" t="s">
        <v>8</v>
      </c>
      <c r="C19" s="5" t="s">
        <v>931</v>
      </c>
      <c r="D19" s="171" t="s">
        <v>930</v>
      </c>
      <c r="E19" s="5" t="s">
        <v>913</v>
      </c>
      <c r="F19" s="6">
        <v>1</v>
      </c>
      <c r="G19" s="7">
        <v>15000</v>
      </c>
      <c r="H19" s="89">
        <f>F19*G19</f>
        <v>15000</v>
      </c>
      <c r="I19" s="89">
        <f>H19</f>
        <v>15000</v>
      </c>
      <c r="J19" s="6"/>
      <c r="K19" s="89"/>
      <c r="L19" s="89"/>
      <c r="M19" s="89"/>
      <c r="N19" s="6"/>
      <c r="O19" s="7"/>
      <c r="P19" s="7"/>
      <c r="Q19" s="7"/>
      <c r="R19" s="6"/>
      <c r="S19" s="7"/>
      <c r="T19" s="6"/>
      <c r="U19" s="20"/>
      <c r="V19" s="20"/>
      <c r="W19" s="6"/>
      <c r="X19" s="6"/>
      <c r="Y19" s="5"/>
      <c r="Z19" s="5"/>
      <c r="AA19" s="6"/>
      <c r="AB19" s="5"/>
      <c r="AC19" s="5"/>
      <c r="AD19" s="6"/>
      <c r="AE19" s="5"/>
      <c r="AF19" s="5"/>
      <c r="AG19" s="6"/>
      <c r="AH19" s="6" t="s">
        <v>8</v>
      </c>
      <c r="AI19" s="6" t="s">
        <v>1547</v>
      </c>
    </row>
    <row r="20" spans="1:35" ht="24" x14ac:dyDescent="0.25">
      <c r="A20" s="4">
        <v>19</v>
      </c>
      <c r="B20" s="69" t="s">
        <v>8</v>
      </c>
      <c r="C20" s="5" t="s">
        <v>931</v>
      </c>
      <c r="D20" s="171" t="s">
        <v>930</v>
      </c>
      <c r="E20" s="5" t="s">
        <v>933</v>
      </c>
      <c r="F20" s="6">
        <v>1</v>
      </c>
      <c r="G20" s="7">
        <v>8000</v>
      </c>
      <c r="H20" s="89">
        <f t="shared" ref="H20" si="12">F20*G20</f>
        <v>8000</v>
      </c>
      <c r="I20" s="89">
        <f t="shared" ref="I20" si="13">H20*1.22</f>
        <v>9760</v>
      </c>
      <c r="J20" s="6"/>
      <c r="K20" s="89"/>
      <c r="L20" s="89"/>
      <c r="M20" s="89"/>
      <c r="N20" s="6"/>
      <c r="O20" s="7"/>
      <c r="P20" s="7"/>
      <c r="Q20" s="7"/>
      <c r="R20" s="6"/>
      <c r="S20" s="7"/>
      <c r="T20" s="6"/>
      <c r="U20" s="20"/>
      <c r="V20" s="20"/>
      <c r="W20" s="6"/>
      <c r="X20" s="6"/>
      <c r="Y20" s="5"/>
      <c r="Z20" s="5"/>
      <c r="AA20" s="6"/>
      <c r="AB20" s="5"/>
      <c r="AC20" s="5"/>
      <c r="AD20" s="6"/>
      <c r="AE20" s="5"/>
      <c r="AF20" s="5"/>
      <c r="AG20" s="6"/>
      <c r="AH20" s="6" t="s">
        <v>8</v>
      </c>
      <c r="AI20" s="6" t="s">
        <v>1547</v>
      </c>
    </row>
    <row r="21" spans="1:35" x14ac:dyDescent="0.25">
      <c r="A21" s="454" t="s">
        <v>59</v>
      </c>
      <c r="B21" s="455"/>
      <c r="C21" s="454"/>
      <c r="D21" s="454"/>
      <c r="E21" s="454"/>
      <c r="F21" s="454"/>
      <c r="G21" s="454"/>
      <c r="H21" s="454"/>
      <c r="I21" s="37">
        <f>SUM(I2:I20)</f>
        <v>290000.0048</v>
      </c>
      <c r="N21" s="181"/>
      <c r="O21" s="181"/>
      <c r="P21" s="181"/>
      <c r="Q21" s="2">
        <f>SUM(Q2:Q15)</f>
        <v>15747.599999999999</v>
      </c>
      <c r="R21" s="181"/>
      <c r="S21" s="2">
        <f>SUM(S2:S15)</f>
        <v>12312.400000000001</v>
      </c>
    </row>
    <row r="22" spans="1:35" ht="11.65" x14ac:dyDescent="0.25">
      <c r="Q22" s="67"/>
    </row>
    <row r="23" spans="1:35" x14ac:dyDescent="0.25">
      <c r="A23" s="4">
        <v>20</v>
      </c>
      <c r="B23" s="69" t="s">
        <v>8</v>
      </c>
      <c r="C23" s="5" t="s">
        <v>931</v>
      </c>
      <c r="D23" s="171" t="s">
        <v>930</v>
      </c>
      <c r="E23" s="5" t="s">
        <v>1601</v>
      </c>
      <c r="F23" s="6">
        <v>1</v>
      </c>
      <c r="G23" s="7">
        <v>9000</v>
      </c>
      <c r="H23" s="7">
        <f>F23*G23</f>
        <v>9000</v>
      </c>
      <c r="I23" s="7">
        <f>H23*1.22</f>
        <v>10980</v>
      </c>
      <c r="Q23" s="67"/>
    </row>
    <row r="24" spans="1:35" x14ac:dyDescent="0.25">
      <c r="A24" s="4">
        <v>21</v>
      </c>
      <c r="B24" s="69" t="s">
        <v>8</v>
      </c>
      <c r="C24" s="5" t="s">
        <v>931</v>
      </c>
      <c r="D24" s="171" t="s">
        <v>930</v>
      </c>
      <c r="E24" s="5" t="s">
        <v>1602</v>
      </c>
      <c r="F24" s="6">
        <v>1</v>
      </c>
      <c r="G24" s="7">
        <v>1000</v>
      </c>
      <c r="H24" s="7">
        <f>F24*G24</f>
        <v>1000</v>
      </c>
      <c r="I24" s="7">
        <f>H24*1.22</f>
        <v>1220</v>
      </c>
      <c r="Q24" s="67"/>
    </row>
    <row r="25" spans="1:35" x14ac:dyDescent="0.25">
      <c r="A25" s="4">
        <v>22</v>
      </c>
      <c r="B25" s="69" t="s">
        <v>8</v>
      </c>
      <c r="C25" s="5" t="s">
        <v>931</v>
      </c>
      <c r="D25" s="171" t="s">
        <v>930</v>
      </c>
      <c r="E25" s="5" t="s">
        <v>1603</v>
      </c>
      <c r="F25" s="6">
        <v>1</v>
      </c>
      <c r="G25" s="7">
        <v>1500</v>
      </c>
      <c r="H25" s="7">
        <f>F25*G25</f>
        <v>1500</v>
      </c>
      <c r="I25" s="7">
        <f>H25*1.22</f>
        <v>1830</v>
      </c>
      <c r="Q25" s="67"/>
    </row>
    <row r="26" spans="1:35" ht="11.65" x14ac:dyDescent="0.25">
      <c r="Q26" s="14"/>
      <c r="S26" s="14"/>
    </row>
    <row r="27" spans="1:35" ht="11.65" x14ac:dyDescent="0.25">
      <c r="Q27" s="14"/>
    </row>
    <row r="28" spans="1:35" x14ac:dyDescent="0.25">
      <c r="A28" s="4">
        <v>1</v>
      </c>
      <c r="B28" s="69" t="s">
        <v>8</v>
      </c>
      <c r="C28" s="5" t="s">
        <v>931</v>
      </c>
      <c r="D28" s="171" t="s">
        <v>930</v>
      </c>
      <c r="E28" s="173" t="s">
        <v>54</v>
      </c>
      <c r="F28" s="69">
        <v>2</v>
      </c>
      <c r="G28" s="172">
        <v>20000</v>
      </c>
      <c r="H28" s="89">
        <f>F28*G28</f>
        <v>40000</v>
      </c>
      <c r="I28" s="7">
        <f>H28*1.1</f>
        <v>44000</v>
      </c>
    </row>
    <row r="29" spans="1:35" x14ac:dyDescent="0.25">
      <c r="A29" s="4">
        <v>2</v>
      </c>
      <c r="B29" s="69" t="s">
        <v>8</v>
      </c>
      <c r="C29" s="5" t="s">
        <v>931</v>
      </c>
      <c r="D29" s="171" t="s">
        <v>930</v>
      </c>
      <c r="E29" s="5" t="s">
        <v>932</v>
      </c>
      <c r="F29" s="6">
        <v>4</v>
      </c>
      <c r="G29" s="7">
        <v>4750</v>
      </c>
      <c r="H29" s="89">
        <f t="shared" ref="H29" si="14">F29*G29</f>
        <v>19000</v>
      </c>
      <c r="I29" s="89">
        <f>H29*1.22</f>
        <v>23180</v>
      </c>
    </row>
    <row r="30" spans="1:35" x14ac:dyDescent="0.25">
      <c r="A30" s="4">
        <v>3</v>
      </c>
      <c r="B30" s="69" t="s">
        <v>8</v>
      </c>
      <c r="C30" s="5" t="s">
        <v>931</v>
      </c>
      <c r="D30" s="171" t="s">
        <v>930</v>
      </c>
      <c r="E30" s="173" t="s">
        <v>935</v>
      </c>
      <c r="F30" s="69">
        <v>2</v>
      </c>
      <c r="G30" s="172">
        <v>930.32600000000002</v>
      </c>
      <c r="H30" s="89">
        <f>F30*G30</f>
        <v>1860.652</v>
      </c>
      <c r="I30" s="89">
        <f t="shared" ref="I30:I31" si="15">H30*1.22</f>
        <v>2269.9954400000001</v>
      </c>
    </row>
    <row r="31" spans="1:35" x14ac:dyDescent="0.25">
      <c r="A31" s="4">
        <v>4</v>
      </c>
      <c r="B31" s="69" t="s">
        <v>8</v>
      </c>
      <c r="C31" s="5" t="s">
        <v>931</v>
      </c>
      <c r="D31" s="171" t="s">
        <v>930</v>
      </c>
      <c r="E31" s="5" t="s">
        <v>975</v>
      </c>
      <c r="F31" s="6">
        <v>2</v>
      </c>
      <c r="G31" s="7">
        <v>2000</v>
      </c>
      <c r="H31" s="89">
        <f>F31*G31</f>
        <v>4000</v>
      </c>
      <c r="I31" s="89">
        <f t="shared" si="15"/>
        <v>4880</v>
      </c>
    </row>
    <row r="32" spans="1:35" x14ac:dyDescent="0.25">
      <c r="A32" s="4">
        <v>5</v>
      </c>
      <c r="B32" s="69" t="s">
        <v>8</v>
      </c>
      <c r="C32" s="5" t="s">
        <v>931</v>
      </c>
      <c r="D32" s="171" t="s">
        <v>930</v>
      </c>
      <c r="E32" s="173" t="s">
        <v>936</v>
      </c>
      <c r="F32" s="69">
        <v>2</v>
      </c>
      <c r="G32" s="172">
        <v>1500</v>
      </c>
      <c r="H32" s="89">
        <f>F32*G32</f>
        <v>3000</v>
      </c>
      <c r="I32" s="89">
        <f>H32*1.22</f>
        <v>3660</v>
      </c>
    </row>
    <row r="33" spans="1:9" x14ac:dyDescent="0.25">
      <c r="A33" s="4">
        <v>6</v>
      </c>
      <c r="B33" s="69" t="s">
        <v>8</v>
      </c>
      <c r="C33" s="5" t="s">
        <v>931</v>
      </c>
      <c r="D33" s="171" t="s">
        <v>930</v>
      </c>
      <c r="E33" s="173" t="s">
        <v>937</v>
      </c>
      <c r="F33" s="69">
        <v>7</v>
      </c>
      <c r="G33" s="172">
        <v>1000</v>
      </c>
      <c r="H33" s="89">
        <f t="shared" ref="H33:H41" si="16">F33*G33</f>
        <v>7000</v>
      </c>
      <c r="I33" s="89">
        <f t="shared" ref="I33:I41" si="17">H33*1.22</f>
        <v>8540</v>
      </c>
    </row>
    <row r="34" spans="1:9" x14ac:dyDescent="0.25">
      <c r="A34" s="4">
        <v>7</v>
      </c>
      <c r="B34" s="69" t="s">
        <v>8</v>
      </c>
      <c r="C34" s="5" t="s">
        <v>931</v>
      </c>
      <c r="D34" s="171" t="s">
        <v>930</v>
      </c>
      <c r="E34" s="173" t="s">
        <v>938</v>
      </c>
      <c r="F34" s="69">
        <v>7</v>
      </c>
      <c r="G34" s="172">
        <v>1000</v>
      </c>
      <c r="H34" s="89">
        <f t="shared" si="16"/>
        <v>7000</v>
      </c>
      <c r="I34" s="89">
        <f t="shared" si="17"/>
        <v>8540</v>
      </c>
    </row>
    <row r="35" spans="1:9" x14ac:dyDescent="0.25">
      <c r="A35" s="4">
        <v>8</v>
      </c>
      <c r="B35" s="69" t="s">
        <v>8</v>
      </c>
      <c r="C35" s="5" t="s">
        <v>931</v>
      </c>
      <c r="D35" s="171" t="s">
        <v>930</v>
      </c>
      <c r="E35" s="173" t="s">
        <v>939</v>
      </c>
      <c r="F35" s="69">
        <v>7</v>
      </c>
      <c r="G35" s="172">
        <v>1000</v>
      </c>
      <c r="H35" s="89">
        <f t="shared" si="16"/>
        <v>7000</v>
      </c>
      <c r="I35" s="89">
        <f t="shared" si="17"/>
        <v>8540</v>
      </c>
    </row>
    <row r="36" spans="1:9" x14ac:dyDescent="0.25">
      <c r="A36" s="4">
        <v>9</v>
      </c>
      <c r="B36" s="69" t="s">
        <v>8</v>
      </c>
      <c r="C36" s="5" t="s">
        <v>931</v>
      </c>
      <c r="D36" s="171" t="s">
        <v>930</v>
      </c>
      <c r="E36" s="173" t="s">
        <v>940</v>
      </c>
      <c r="F36" s="69">
        <v>5</v>
      </c>
      <c r="G36" s="172">
        <v>1000</v>
      </c>
      <c r="H36" s="89">
        <f t="shared" si="16"/>
        <v>5000</v>
      </c>
      <c r="I36" s="89">
        <f t="shared" si="17"/>
        <v>6100</v>
      </c>
    </row>
    <row r="37" spans="1:9" x14ac:dyDescent="0.25">
      <c r="A37" s="4">
        <v>10</v>
      </c>
      <c r="B37" s="69" t="s">
        <v>8</v>
      </c>
      <c r="C37" s="5" t="s">
        <v>931</v>
      </c>
      <c r="D37" s="171" t="s">
        <v>930</v>
      </c>
      <c r="E37" s="173" t="s">
        <v>941</v>
      </c>
      <c r="F37" s="69">
        <v>2</v>
      </c>
      <c r="G37" s="172">
        <v>4000</v>
      </c>
      <c r="H37" s="89">
        <f t="shared" si="16"/>
        <v>8000</v>
      </c>
      <c r="I37" s="89">
        <f t="shared" si="17"/>
        <v>9760</v>
      </c>
    </row>
    <row r="38" spans="1:9" x14ac:dyDescent="0.25">
      <c r="A38" s="4">
        <v>11</v>
      </c>
      <c r="B38" s="69" t="s">
        <v>8</v>
      </c>
      <c r="C38" s="5" t="s">
        <v>931</v>
      </c>
      <c r="D38" s="171" t="s">
        <v>930</v>
      </c>
      <c r="E38" s="173" t="s">
        <v>942</v>
      </c>
      <c r="F38" s="69">
        <v>7</v>
      </c>
      <c r="G38" s="172">
        <v>2500</v>
      </c>
      <c r="H38" s="89">
        <f t="shared" si="16"/>
        <v>17500</v>
      </c>
      <c r="I38" s="89">
        <f t="shared" si="17"/>
        <v>21350</v>
      </c>
    </row>
    <row r="39" spans="1:9" x14ac:dyDescent="0.25">
      <c r="A39" s="4">
        <v>12</v>
      </c>
      <c r="B39" s="69" t="s">
        <v>8</v>
      </c>
      <c r="C39" s="5" t="s">
        <v>931</v>
      </c>
      <c r="D39" s="171" t="s">
        <v>930</v>
      </c>
      <c r="E39" s="173" t="s">
        <v>943</v>
      </c>
      <c r="F39" s="69">
        <v>1</v>
      </c>
      <c r="G39" s="172">
        <v>2000</v>
      </c>
      <c r="H39" s="89">
        <f t="shared" si="16"/>
        <v>2000</v>
      </c>
      <c r="I39" s="89">
        <f t="shared" si="17"/>
        <v>2440</v>
      </c>
    </row>
    <row r="40" spans="1:9" x14ac:dyDescent="0.25">
      <c r="A40" s="4">
        <v>13</v>
      </c>
      <c r="B40" s="69" t="s">
        <v>8</v>
      </c>
      <c r="C40" s="5" t="s">
        <v>931</v>
      </c>
      <c r="D40" s="171" t="s">
        <v>930</v>
      </c>
      <c r="E40" s="173" t="s">
        <v>944</v>
      </c>
      <c r="F40" s="69">
        <v>1</v>
      </c>
      <c r="G40" s="172">
        <v>67000</v>
      </c>
      <c r="H40" s="89">
        <f t="shared" si="16"/>
        <v>67000</v>
      </c>
      <c r="I40" s="89">
        <f t="shared" si="17"/>
        <v>81740</v>
      </c>
    </row>
    <row r="41" spans="1:9" ht="60" x14ac:dyDescent="0.25">
      <c r="A41" s="4">
        <v>14</v>
      </c>
      <c r="B41" s="69" t="s">
        <v>8</v>
      </c>
      <c r="C41" s="5" t="s">
        <v>931</v>
      </c>
      <c r="D41" s="171" t="s">
        <v>930</v>
      </c>
      <c r="E41" s="5" t="s">
        <v>934</v>
      </c>
      <c r="F41" s="6">
        <v>1</v>
      </c>
      <c r="G41" s="7">
        <v>32786.881999999998</v>
      </c>
      <c r="H41" s="89">
        <f t="shared" si="16"/>
        <v>32786.881999999998</v>
      </c>
      <c r="I41" s="89">
        <f t="shared" si="17"/>
        <v>39999.996039999998</v>
      </c>
    </row>
    <row r="42" spans="1:9" x14ac:dyDescent="0.25">
      <c r="A42" s="4">
        <v>15</v>
      </c>
      <c r="B42" s="69" t="s">
        <v>8</v>
      </c>
      <c r="C42" s="5" t="s">
        <v>931</v>
      </c>
      <c r="D42" s="171" t="s">
        <v>930</v>
      </c>
      <c r="E42" s="9" t="s">
        <v>913</v>
      </c>
      <c r="F42" s="6">
        <v>1</v>
      </c>
      <c r="G42" s="7">
        <v>15000</v>
      </c>
      <c r="H42" s="89">
        <f>F42*G42</f>
        <v>15000</v>
      </c>
      <c r="I42" s="89">
        <f>H42</f>
        <v>15000</v>
      </c>
    </row>
    <row r="43" spans="1:9" ht="24" x14ac:dyDescent="0.25">
      <c r="A43" s="4">
        <v>16</v>
      </c>
      <c r="B43" s="69" t="s">
        <v>8</v>
      </c>
      <c r="C43" s="5" t="s">
        <v>931</v>
      </c>
      <c r="D43" s="171" t="s">
        <v>930</v>
      </c>
      <c r="E43" s="5" t="s">
        <v>933</v>
      </c>
      <c r="F43" s="6">
        <v>1</v>
      </c>
      <c r="G43" s="7">
        <v>8196.7250000000004</v>
      </c>
      <c r="H43" s="89">
        <f t="shared" ref="H43" si="18">F43*G43</f>
        <v>8196.7250000000004</v>
      </c>
      <c r="I43" s="89">
        <f t="shared" ref="I43" si="19">H43*1.22</f>
        <v>10000.004500000001</v>
      </c>
    </row>
    <row r="44" spans="1:9" x14ac:dyDescent="0.25">
      <c r="A44" s="454" t="s">
        <v>59</v>
      </c>
      <c r="B44" s="455"/>
      <c r="C44" s="454"/>
      <c r="D44" s="454"/>
      <c r="E44" s="454"/>
      <c r="F44" s="454"/>
      <c r="G44" s="454"/>
      <c r="H44" s="454"/>
      <c r="I44" s="37">
        <f>SUM(I28:I43)</f>
        <v>289999.99597999995</v>
      </c>
    </row>
  </sheetData>
  <autoFilter ref="A1:AI21"/>
  <mergeCells count="2">
    <mergeCell ref="A21:H21"/>
    <mergeCell ref="A44:H44"/>
  </mergeCells>
  <printOptions horizontalCentered="1"/>
  <pageMargins left="0" right="0" top="0.39370078740157483" bottom="0.39370078740157483" header="0.23622047244094491" footer="0.23622047244094491"/>
  <pageSetup paperSize="9" scale="56" orientation="landscape" horizontalDpi="4294967294" verticalDpi="4294967294" r:id="rId1"/>
  <headerFooter alignWithMargins="0">
    <oddHeader>&amp;C&amp;"Garamond,Normale"&amp;A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0"/>
  <sheetViews>
    <sheetView zoomScale="80" zoomScaleNormal="80" workbookViewId="0">
      <pane xSplit="1" topLeftCell="B1" activePane="topRight" state="frozen"/>
      <selection activeCell="P2" sqref="P2"/>
      <selection pane="topRight" activeCell="T2" sqref="T2"/>
    </sheetView>
  </sheetViews>
  <sheetFormatPr defaultColWidth="9.140625" defaultRowHeight="12" x14ac:dyDescent="0.25"/>
  <cols>
    <col min="1" max="1" width="4" style="13" bestFit="1" customWidth="1"/>
    <col min="2" max="2" width="6.28515625" style="13" customWidth="1"/>
    <col min="3" max="3" width="11.140625" style="12" bestFit="1" customWidth="1"/>
    <col min="4" max="4" width="18.28515625" style="12" bestFit="1" customWidth="1"/>
    <col min="5" max="5" width="29.28515625" style="12" customWidth="1"/>
    <col min="6" max="6" width="4.140625" style="13" bestFit="1" customWidth="1"/>
    <col min="7" max="7" width="12.140625" style="14" customWidth="1"/>
    <col min="8" max="9" width="14.7109375" style="14" bestFit="1" customWidth="1"/>
    <col min="10" max="10" width="8.7109375" style="14" bestFit="1" customWidth="1"/>
    <col min="11" max="11" width="14" style="14" customWidth="1"/>
    <col min="12" max="13" width="14.7109375" style="14" customWidth="1"/>
    <col min="14" max="14" width="4" style="13" customWidth="1"/>
    <col min="15" max="15" width="12" style="13" customWidth="1"/>
    <col min="16" max="16" width="11.85546875" style="13" bestFit="1" customWidth="1"/>
    <col min="17" max="17" width="11.5703125" style="13" bestFit="1" customWidth="1"/>
    <col min="18" max="18" width="13.140625" style="13" bestFit="1" customWidth="1"/>
    <col min="19" max="19" width="17.85546875" style="13" bestFit="1" customWidth="1"/>
    <col min="20" max="20" width="15.28515625" style="13" bestFit="1" customWidth="1"/>
    <col min="21" max="21" width="13.85546875" style="13" customWidth="1"/>
    <col min="22" max="22" width="12.5703125" style="13" customWidth="1"/>
    <col min="23" max="23" width="11.5703125" style="13" customWidth="1"/>
    <col min="24" max="24" width="12" style="13" customWidth="1"/>
    <col min="25" max="25" width="25.140625" style="12" customWidth="1"/>
    <col min="26" max="26" width="12" style="12" customWidth="1"/>
    <col min="27" max="27" width="11.7109375" style="12" customWidth="1"/>
    <col min="28" max="28" width="22.85546875" style="12" customWidth="1"/>
    <col min="29" max="29" width="11.85546875" style="12" customWidth="1"/>
    <col min="30" max="30" width="9.5703125" style="13" bestFit="1" customWidth="1"/>
    <col min="31" max="31" width="29" style="12" bestFit="1" customWidth="1"/>
    <col min="32" max="32" width="16.42578125" style="12" customWidth="1"/>
    <col min="33" max="33" width="17.140625" style="13" customWidth="1"/>
    <col min="34" max="34" width="24.7109375" style="13" bestFit="1" customWidth="1"/>
    <col min="35" max="35" width="34" style="13" customWidth="1"/>
    <col min="36" max="16384" width="9.140625" style="12"/>
  </cols>
  <sheetData>
    <row r="1" spans="1:35" s="170" customFormat="1" ht="48" x14ac:dyDescent="0.25">
      <c r="A1" s="169" t="s">
        <v>0</v>
      </c>
      <c r="B1" s="64" t="s">
        <v>1</v>
      </c>
      <c r="C1" s="64" t="s">
        <v>2</v>
      </c>
      <c r="D1" s="64" t="s">
        <v>3</v>
      </c>
      <c r="E1" s="64" t="s">
        <v>4</v>
      </c>
      <c r="F1" s="64" t="s">
        <v>5</v>
      </c>
      <c r="G1" s="18" t="s">
        <v>186</v>
      </c>
      <c r="H1" s="18" t="s">
        <v>92</v>
      </c>
      <c r="I1" s="18" t="s">
        <v>61</v>
      </c>
      <c r="J1" s="64" t="s">
        <v>5</v>
      </c>
      <c r="K1" s="18" t="s">
        <v>105</v>
      </c>
      <c r="L1" s="18" t="s">
        <v>92</v>
      </c>
      <c r="M1" s="18" t="s">
        <v>61</v>
      </c>
      <c r="N1" s="64" t="s">
        <v>5</v>
      </c>
      <c r="O1" s="18" t="s">
        <v>902</v>
      </c>
      <c r="P1" s="18" t="s">
        <v>92</v>
      </c>
      <c r="Q1" s="18" t="s">
        <v>61</v>
      </c>
      <c r="R1" s="18" t="s">
        <v>313</v>
      </c>
      <c r="S1" s="18" t="s">
        <v>93</v>
      </c>
      <c r="T1" s="47" t="s">
        <v>267</v>
      </c>
      <c r="U1" s="65" t="s">
        <v>106</v>
      </c>
      <c r="V1" s="65" t="s">
        <v>107</v>
      </c>
      <c r="W1" s="65" t="s">
        <v>108</v>
      </c>
      <c r="X1" s="65" t="s">
        <v>109</v>
      </c>
      <c r="Y1" s="63" t="s">
        <v>110</v>
      </c>
      <c r="Z1" s="63" t="s">
        <v>111</v>
      </c>
      <c r="AA1" s="63" t="s">
        <v>112</v>
      </c>
      <c r="AB1" s="63" t="s">
        <v>113</v>
      </c>
      <c r="AC1" s="64" t="s">
        <v>114</v>
      </c>
      <c r="AD1" s="63" t="s">
        <v>115</v>
      </c>
      <c r="AE1" s="63" t="s">
        <v>116</v>
      </c>
      <c r="AF1" s="63" t="s">
        <v>117</v>
      </c>
      <c r="AG1" s="64" t="s">
        <v>118</v>
      </c>
      <c r="AH1" s="64" t="s">
        <v>1544</v>
      </c>
      <c r="AI1" s="64" t="s">
        <v>1540</v>
      </c>
    </row>
    <row r="2" spans="1:35" ht="24" x14ac:dyDescent="0.25">
      <c r="A2" s="257">
        <v>1</v>
      </c>
      <c r="B2" s="259" t="s">
        <v>8</v>
      </c>
      <c r="C2" s="9" t="s">
        <v>931</v>
      </c>
      <c r="D2" s="9" t="s">
        <v>1642</v>
      </c>
      <c r="E2" s="173" t="s">
        <v>1645</v>
      </c>
      <c r="F2" s="69">
        <v>25</v>
      </c>
      <c r="G2" s="172">
        <v>100</v>
      </c>
      <c r="H2" s="89">
        <f t="shared" ref="H2" si="0">F2*G2</f>
        <v>2500</v>
      </c>
      <c r="I2" s="89">
        <f>H2*1.22</f>
        <v>3050</v>
      </c>
      <c r="J2" s="46"/>
      <c r="K2" s="260"/>
      <c r="L2" s="260">
        <f>K2*J2</f>
        <v>0</v>
      </c>
      <c r="M2" s="260">
        <f>L2*1.22</f>
        <v>0</v>
      </c>
      <c r="N2" s="46"/>
      <c r="O2" s="260"/>
      <c r="P2" s="260">
        <f t="shared" ref="P2:P17" si="1">N2*O2</f>
        <v>0</v>
      </c>
      <c r="Q2" s="260">
        <f>P2</f>
        <v>0</v>
      </c>
      <c r="R2" s="38">
        <v>2020</v>
      </c>
      <c r="S2" s="260">
        <f>I2-Q2</f>
        <v>3050</v>
      </c>
      <c r="T2" s="50" t="e">
        <f t="shared" ref="T2:T17" si="2">1-Q2/M2</f>
        <v>#DIV/0!</v>
      </c>
      <c r="U2" s="57"/>
      <c r="V2" s="57"/>
      <c r="W2" s="57"/>
      <c r="X2" s="57"/>
      <c r="Y2" s="40"/>
      <c r="Z2" s="259"/>
      <c r="AA2" s="40"/>
      <c r="AB2" s="40"/>
      <c r="AC2" s="20"/>
      <c r="AD2" s="20"/>
      <c r="AE2" s="259"/>
      <c r="AF2" s="259"/>
      <c r="AG2" s="70"/>
      <c r="AH2" s="259" t="s">
        <v>1560</v>
      </c>
      <c r="AI2" s="259" t="s">
        <v>1547</v>
      </c>
    </row>
    <row r="3" spans="1:35" ht="24" x14ac:dyDescent="0.25">
      <c r="A3" s="257">
        <v>2</v>
      </c>
      <c r="B3" s="69" t="s">
        <v>8</v>
      </c>
      <c r="C3" s="258" t="s">
        <v>931</v>
      </c>
      <c r="D3" s="9" t="s">
        <v>1642</v>
      </c>
      <c r="E3" s="258" t="s">
        <v>1646</v>
      </c>
      <c r="F3" s="69">
        <v>25</v>
      </c>
      <c r="G3" s="260">
        <v>150.34385</v>
      </c>
      <c r="H3" s="89">
        <f t="shared" ref="H3:H18" si="3">F3*G3</f>
        <v>3758.5962500000001</v>
      </c>
      <c r="I3" s="89">
        <f t="shared" ref="I3:I4" si="4">H3*1.22</f>
        <v>4585.4874250000003</v>
      </c>
      <c r="J3" s="259"/>
      <c r="K3" s="89"/>
      <c r="L3" s="89"/>
      <c r="M3" s="89"/>
      <c r="N3" s="259"/>
      <c r="O3" s="260"/>
      <c r="P3" s="260"/>
      <c r="Q3" s="260"/>
      <c r="R3" s="259"/>
      <c r="S3" s="260"/>
      <c r="T3" s="259" t="e">
        <f t="shared" si="2"/>
        <v>#DIV/0!</v>
      </c>
      <c r="U3" s="20"/>
      <c r="V3" s="20"/>
      <c r="W3" s="259"/>
      <c r="X3" s="259"/>
      <c r="Y3" s="258"/>
      <c r="Z3" s="258"/>
      <c r="AA3" s="259"/>
      <c r="AB3" s="258"/>
      <c r="AC3" s="258"/>
      <c r="AD3" s="259"/>
      <c r="AE3" s="258"/>
      <c r="AF3" s="258"/>
      <c r="AG3" s="259"/>
      <c r="AH3" s="259" t="s">
        <v>8</v>
      </c>
      <c r="AI3" s="259" t="s">
        <v>1547</v>
      </c>
    </row>
    <row r="4" spans="1:35" ht="24" x14ac:dyDescent="0.25">
      <c r="A4" s="257">
        <v>3</v>
      </c>
      <c r="B4" s="259" t="s">
        <v>8</v>
      </c>
      <c r="C4" s="9" t="s">
        <v>931</v>
      </c>
      <c r="D4" s="9" t="s">
        <v>1642</v>
      </c>
      <c r="E4" s="173" t="s">
        <v>1647</v>
      </c>
      <c r="F4" s="69">
        <v>25</v>
      </c>
      <c r="G4" s="172">
        <v>300</v>
      </c>
      <c r="H4" s="89">
        <f t="shared" si="3"/>
        <v>7500</v>
      </c>
      <c r="I4" s="89">
        <f t="shared" si="4"/>
        <v>9150</v>
      </c>
      <c r="J4" s="46"/>
      <c r="K4" s="260"/>
      <c r="L4" s="260">
        <f>K4*J4</f>
        <v>0</v>
      </c>
      <c r="M4" s="260">
        <f>L4*1.22</f>
        <v>0</v>
      </c>
      <c r="N4" s="46"/>
      <c r="O4" s="260"/>
      <c r="P4" s="260">
        <f t="shared" si="1"/>
        <v>0</v>
      </c>
      <c r="Q4" s="260">
        <f t="shared" ref="Q4:Q17" si="5">P4*1.22</f>
        <v>0</v>
      </c>
      <c r="R4" s="38">
        <v>2019</v>
      </c>
      <c r="S4" s="260">
        <f>I4-Q4</f>
        <v>9150</v>
      </c>
      <c r="T4" s="50" t="e">
        <f t="shared" si="2"/>
        <v>#DIV/0!</v>
      </c>
      <c r="U4" s="57"/>
      <c r="V4" s="57"/>
      <c r="W4" s="57"/>
      <c r="X4" s="57"/>
      <c r="Y4" s="40"/>
      <c r="Z4" s="259"/>
      <c r="AA4" s="40"/>
      <c r="AB4" s="40"/>
      <c r="AC4" s="20"/>
      <c r="AD4" s="20"/>
      <c r="AE4" s="259"/>
      <c r="AF4" s="259"/>
      <c r="AG4" s="70"/>
      <c r="AH4" s="259" t="s">
        <v>8</v>
      </c>
      <c r="AI4" s="259" t="s">
        <v>1547</v>
      </c>
    </row>
    <row r="5" spans="1:35" ht="24" x14ac:dyDescent="0.25">
      <c r="A5" s="257">
        <v>4</v>
      </c>
      <c r="B5" s="69" t="s">
        <v>8</v>
      </c>
      <c r="C5" s="258" t="s">
        <v>931</v>
      </c>
      <c r="D5" s="9" t="s">
        <v>1642</v>
      </c>
      <c r="E5" s="258" t="s">
        <v>1648</v>
      </c>
      <c r="F5" s="69">
        <v>25</v>
      </c>
      <c r="G5" s="260">
        <v>200</v>
      </c>
      <c r="H5" s="89">
        <f t="shared" si="3"/>
        <v>5000</v>
      </c>
      <c r="I5" s="89">
        <f t="shared" ref="I5:I18" si="6">H5*1.22</f>
        <v>6100</v>
      </c>
      <c r="J5" s="259"/>
      <c r="K5" s="89"/>
      <c r="L5" s="89"/>
      <c r="M5" s="89"/>
      <c r="N5" s="259"/>
      <c r="O5" s="260"/>
      <c r="P5" s="260">
        <f t="shared" si="1"/>
        <v>0</v>
      </c>
      <c r="Q5" s="260">
        <f t="shared" si="5"/>
        <v>0</v>
      </c>
      <c r="R5" s="259"/>
      <c r="S5" s="260">
        <f t="shared" ref="S5:S17" si="7">M5-Q5</f>
        <v>0</v>
      </c>
      <c r="T5" s="259" t="e">
        <f t="shared" si="2"/>
        <v>#DIV/0!</v>
      </c>
      <c r="U5" s="20"/>
      <c r="V5" s="20"/>
      <c r="W5" s="259"/>
      <c r="X5" s="259"/>
      <c r="Y5" s="258"/>
      <c r="Z5" s="258"/>
      <c r="AA5" s="259"/>
      <c r="AB5" s="258"/>
      <c r="AC5" s="258"/>
      <c r="AD5" s="259"/>
      <c r="AE5" s="258"/>
      <c r="AF5" s="258"/>
      <c r="AG5" s="259"/>
      <c r="AH5" s="259" t="s">
        <v>8</v>
      </c>
      <c r="AI5" s="259" t="s">
        <v>1547</v>
      </c>
    </row>
    <row r="6" spans="1:35" ht="24" x14ac:dyDescent="0.25">
      <c r="A6" s="257">
        <v>5</v>
      </c>
      <c r="B6" s="69" t="s">
        <v>8</v>
      </c>
      <c r="C6" s="258" t="s">
        <v>931</v>
      </c>
      <c r="D6" s="9" t="s">
        <v>1642</v>
      </c>
      <c r="E6" s="258" t="s">
        <v>532</v>
      </c>
      <c r="F6" s="69">
        <v>25</v>
      </c>
      <c r="G6" s="260">
        <v>100</v>
      </c>
      <c r="H6" s="89">
        <f t="shared" si="3"/>
        <v>2500</v>
      </c>
      <c r="I6" s="89">
        <f t="shared" si="6"/>
        <v>3050</v>
      </c>
      <c r="J6" s="259"/>
      <c r="K6" s="89"/>
      <c r="L6" s="89"/>
      <c r="M6" s="89"/>
      <c r="N6" s="259"/>
      <c r="O6" s="260"/>
      <c r="P6" s="260"/>
      <c r="Q6" s="260"/>
      <c r="R6" s="259"/>
      <c r="S6" s="260"/>
      <c r="T6" s="259"/>
      <c r="U6" s="20"/>
      <c r="V6" s="20"/>
      <c r="W6" s="259"/>
      <c r="X6" s="259"/>
      <c r="Y6" s="258"/>
      <c r="Z6" s="258"/>
      <c r="AA6" s="259"/>
      <c r="AB6" s="258"/>
      <c r="AC6" s="258"/>
      <c r="AD6" s="259"/>
      <c r="AE6" s="258"/>
      <c r="AF6" s="258"/>
      <c r="AG6" s="259"/>
      <c r="AH6" s="259"/>
      <c r="AI6" s="259"/>
    </row>
    <row r="7" spans="1:35" ht="24" x14ac:dyDescent="0.25">
      <c r="A7" s="257">
        <v>6</v>
      </c>
      <c r="B7" s="69" t="s">
        <v>8</v>
      </c>
      <c r="C7" s="258" t="s">
        <v>931</v>
      </c>
      <c r="D7" s="9" t="s">
        <v>1642</v>
      </c>
      <c r="E7" s="258" t="s">
        <v>1643</v>
      </c>
      <c r="F7" s="259">
        <v>6</v>
      </c>
      <c r="G7" s="260">
        <v>600</v>
      </c>
      <c r="H7" s="89">
        <f t="shared" si="3"/>
        <v>3600</v>
      </c>
      <c r="I7" s="89">
        <f t="shared" si="6"/>
        <v>4392</v>
      </c>
      <c r="J7" s="259"/>
      <c r="K7" s="89"/>
      <c r="L7" s="89"/>
      <c r="M7" s="89"/>
      <c r="N7" s="259"/>
      <c r="O7" s="260"/>
      <c r="P7" s="260">
        <f t="shared" si="1"/>
        <v>0</v>
      </c>
      <c r="Q7" s="260">
        <f t="shared" si="5"/>
        <v>0</v>
      </c>
      <c r="R7" s="259"/>
      <c r="S7" s="260">
        <f t="shared" si="7"/>
        <v>0</v>
      </c>
      <c r="T7" s="259"/>
      <c r="U7" s="20"/>
      <c r="V7" s="20"/>
      <c r="W7" s="259"/>
      <c r="X7" s="259"/>
      <c r="Y7" s="258"/>
      <c r="Z7" s="258"/>
      <c r="AA7" s="259"/>
      <c r="AB7" s="258"/>
      <c r="AC7" s="258"/>
      <c r="AD7" s="259"/>
      <c r="AE7" s="258"/>
      <c r="AF7" s="258"/>
      <c r="AG7" s="259"/>
      <c r="AH7" s="259" t="s">
        <v>8</v>
      </c>
      <c r="AI7" s="259" t="s">
        <v>1547</v>
      </c>
    </row>
    <row r="8" spans="1:35" ht="24" x14ac:dyDescent="0.25">
      <c r="A8" s="257">
        <v>7</v>
      </c>
      <c r="B8" s="69" t="s">
        <v>8</v>
      </c>
      <c r="C8" s="258" t="s">
        <v>931</v>
      </c>
      <c r="D8" s="9" t="s">
        <v>1642</v>
      </c>
      <c r="E8" s="258" t="s">
        <v>1650</v>
      </c>
      <c r="F8" s="259">
        <v>6</v>
      </c>
      <c r="G8" s="260">
        <v>1000</v>
      </c>
      <c r="H8" s="89">
        <f t="shared" si="3"/>
        <v>6000</v>
      </c>
      <c r="I8" s="89">
        <f t="shared" si="6"/>
        <v>7320</v>
      </c>
      <c r="J8" s="259"/>
      <c r="K8" s="89"/>
      <c r="L8" s="89"/>
      <c r="M8" s="89"/>
      <c r="N8" s="259"/>
      <c r="O8" s="260"/>
      <c r="P8" s="260">
        <f t="shared" si="1"/>
        <v>0</v>
      </c>
      <c r="Q8" s="260">
        <f t="shared" si="5"/>
        <v>0</v>
      </c>
      <c r="R8" s="259"/>
      <c r="S8" s="260">
        <f t="shared" si="7"/>
        <v>0</v>
      </c>
      <c r="T8" s="259"/>
      <c r="U8" s="20"/>
      <c r="V8" s="20"/>
      <c r="W8" s="259"/>
      <c r="X8" s="259"/>
      <c r="Y8" s="258"/>
      <c r="Z8" s="258"/>
      <c r="AA8" s="259"/>
      <c r="AB8" s="258"/>
      <c r="AC8" s="258"/>
      <c r="AD8" s="259"/>
      <c r="AE8" s="258"/>
      <c r="AF8" s="258"/>
      <c r="AG8" s="259"/>
      <c r="AH8" s="259" t="s">
        <v>8</v>
      </c>
      <c r="AI8" s="259" t="s">
        <v>1547</v>
      </c>
    </row>
    <row r="9" spans="1:35" ht="24" x14ac:dyDescent="0.25">
      <c r="A9" s="257">
        <v>8</v>
      </c>
      <c r="B9" s="69" t="s">
        <v>8</v>
      </c>
      <c r="C9" s="258" t="s">
        <v>931</v>
      </c>
      <c r="D9" s="9" t="s">
        <v>1642</v>
      </c>
      <c r="E9" s="258" t="s">
        <v>1649</v>
      </c>
      <c r="F9" s="259">
        <v>6</v>
      </c>
      <c r="G9" s="260">
        <v>300</v>
      </c>
      <c r="H9" s="89">
        <f t="shared" si="3"/>
        <v>1800</v>
      </c>
      <c r="I9" s="89">
        <f t="shared" si="6"/>
        <v>2196</v>
      </c>
      <c r="J9" s="259"/>
      <c r="K9" s="89"/>
      <c r="L9" s="89"/>
      <c r="M9" s="89"/>
      <c r="N9" s="259"/>
      <c r="O9" s="260"/>
      <c r="P9" s="260">
        <f t="shared" si="1"/>
        <v>0</v>
      </c>
      <c r="Q9" s="260">
        <f t="shared" si="5"/>
        <v>0</v>
      </c>
      <c r="R9" s="259"/>
      <c r="S9" s="260">
        <f t="shared" si="7"/>
        <v>0</v>
      </c>
      <c r="T9" s="259"/>
      <c r="U9" s="20"/>
      <c r="V9" s="20"/>
      <c r="W9" s="259"/>
      <c r="X9" s="259"/>
      <c r="Y9" s="258"/>
      <c r="Z9" s="258"/>
      <c r="AA9" s="259"/>
      <c r="AB9" s="258"/>
      <c r="AC9" s="258"/>
      <c r="AD9" s="259"/>
      <c r="AE9" s="258"/>
      <c r="AF9" s="258"/>
      <c r="AG9" s="259"/>
      <c r="AH9" s="259" t="s">
        <v>8</v>
      </c>
      <c r="AI9" s="259" t="s">
        <v>1547</v>
      </c>
    </row>
    <row r="10" spans="1:35" ht="24" x14ac:dyDescent="0.25">
      <c r="A10" s="257">
        <v>9</v>
      </c>
      <c r="B10" s="69" t="s">
        <v>8</v>
      </c>
      <c r="C10" s="258" t="s">
        <v>931</v>
      </c>
      <c r="D10" s="9" t="s">
        <v>1642</v>
      </c>
      <c r="E10" s="258" t="s">
        <v>1651</v>
      </c>
      <c r="F10" s="259">
        <v>6</v>
      </c>
      <c r="G10" s="260">
        <v>100</v>
      </c>
      <c r="H10" s="89">
        <f t="shared" si="3"/>
        <v>600</v>
      </c>
      <c r="I10" s="89">
        <f t="shared" si="6"/>
        <v>732</v>
      </c>
      <c r="J10" s="259"/>
      <c r="K10" s="89"/>
      <c r="L10" s="89"/>
      <c r="M10" s="89"/>
      <c r="N10" s="259"/>
      <c r="O10" s="260"/>
      <c r="P10" s="260">
        <f t="shared" si="1"/>
        <v>0</v>
      </c>
      <c r="Q10" s="260">
        <f t="shared" si="5"/>
        <v>0</v>
      </c>
      <c r="R10" s="259"/>
      <c r="S10" s="260">
        <f t="shared" si="7"/>
        <v>0</v>
      </c>
      <c r="T10" s="259"/>
      <c r="U10" s="20"/>
      <c r="V10" s="20"/>
      <c r="W10" s="259"/>
      <c r="X10" s="259"/>
      <c r="Y10" s="258"/>
      <c r="Z10" s="258"/>
      <c r="AA10" s="259"/>
      <c r="AB10" s="258"/>
      <c r="AC10" s="258"/>
      <c r="AD10" s="259"/>
      <c r="AE10" s="258"/>
      <c r="AF10" s="258"/>
      <c r="AG10" s="259"/>
      <c r="AH10" s="259" t="s">
        <v>8</v>
      </c>
      <c r="AI10" s="259" t="s">
        <v>1547</v>
      </c>
    </row>
    <row r="11" spans="1:35" ht="24" x14ac:dyDescent="0.25">
      <c r="A11" s="257">
        <v>10</v>
      </c>
      <c r="B11" s="69" t="s">
        <v>8</v>
      </c>
      <c r="C11" s="258" t="s">
        <v>931</v>
      </c>
      <c r="D11" s="9" t="s">
        <v>1642</v>
      </c>
      <c r="E11" s="258" t="s">
        <v>1646</v>
      </c>
      <c r="F11" s="259">
        <v>6</v>
      </c>
      <c r="G11" s="260">
        <v>150.34385</v>
      </c>
      <c r="H11" s="89">
        <f t="shared" si="3"/>
        <v>902.06310000000008</v>
      </c>
      <c r="I11" s="89">
        <f t="shared" si="6"/>
        <v>1100.5169820000001</v>
      </c>
      <c r="J11" s="259"/>
      <c r="K11" s="89"/>
      <c r="L11" s="89"/>
      <c r="M11" s="89"/>
      <c r="N11" s="259"/>
      <c r="O11" s="260"/>
      <c r="P11" s="260">
        <f t="shared" si="1"/>
        <v>0</v>
      </c>
      <c r="Q11" s="260">
        <f t="shared" si="5"/>
        <v>0</v>
      </c>
      <c r="R11" s="259"/>
      <c r="S11" s="260">
        <f t="shared" si="7"/>
        <v>0</v>
      </c>
      <c r="T11" s="259"/>
      <c r="U11" s="20"/>
      <c r="V11" s="20"/>
      <c r="W11" s="259"/>
      <c r="X11" s="259"/>
      <c r="Y11" s="258"/>
      <c r="Z11" s="258"/>
      <c r="AA11" s="259"/>
      <c r="AB11" s="258"/>
      <c r="AC11" s="258"/>
      <c r="AD11" s="259"/>
      <c r="AE11" s="258"/>
      <c r="AF11" s="258"/>
      <c r="AG11" s="259"/>
      <c r="AH11" s="259" t="s">
        <v>8</v>
      </c>
      <c r="AI11" s="259" t="s">
        <v>1547</v>
      </c>
    </row>
    <row r="12" spans="1:35" ht="24" x14ac:dyDescent="0.25">
      <c r="A12" s="257">
        <v>11</v>
      </c>
      <c r="B12" s="69" t="s">
        <v>8</v>
      </c>
      <c r="C12" s="258" t="s">
        <v>931</v>
      </c>
      <c r="D12" s="9" t="s">
        <v>1642</v>
      </c>
      <c r="E12" s="258" t="s">
        <v>1647</v>
      </c>
      <c r="F12" s="259">
        <v>6</v>
      </c>
      <c r="G12" s="260">
        <v>300</v>
      </c>
      <c r="H12" s="89">
        <f t="shared" si="3"/>
        <v>1800</v>
      </c>
      <c r="I12" s="89">
        <f t="shared" si="6"/>
        <v>2196</v>
      </c>
      <c r="J12" s="259"/>
      <c r="K12" s="89"/>
      <c r="L12" s="89"/>
      <c r="M12" s="89"/>
      <c r="N12" s="259"/>
      <c r="O12" s="260"/>
      <c r="P12" s="260">
        <f t="shared" si="1"/>
        <v>0</v>
      </c>
      <c r="Q12" s="260">
        <f t="shared" si="5"/>
        <v>0</v>
      </c>
      <c r="R12" s="259"/>
      <c r="S12" s="260">
        <f t="shared" si="7"/>
        <v>0</v>
      </c>
      <c r="T12" s="259"/>
      <c r="U12" s="20"/>
      <c r="V12" s="20"/>
      <c r="W12" s="259"/>
      <c r="X12" s="259"/>
      <c r="Y12" s="258"/>
      <c r="Z12" s="258"/>
      <c r="AA12" s="259"/>
      <c r="AB12" s="258"/>
      <c r="AC12" s="258"/>
      <c r="AD12" s="259"/>
      <c r="AE12" s="258"/>
      <c r="AF12" s="258"/>
      <c r="AG12" s="259"/>
      <c r="AH12" s="259" t="s">
        <v>8</v>
      </c>
      <c r="AI12" s="259" t="s">
        <v>1547</v>
      </c>
    </row>
    <row r="13" spans="1:35" ht="24" x14ac:dyDescent="0.25">
      <c r="A13" s="257">
        <v>12</v>
      </c>
      <c r="B13" s="69" t="s">
        <v>8</v>
      </c>
      <c r="C13" s="258" t="s">
        <v>931</v>
      </c>
      <c r="D13" s="9" t="s">
        <v>1642</v>
      </c>
      <c r="E13" s="258" t="s">
        <v>1648</v>
      </c>
      <c r="F13" s="259">
        <v>6</v>
      </c>
      <c r="G13" s="260">
        <v>200</v>
      </c>
      <c r="H13" s="89">
        <f t="shared" si="3"/>
        <v>1200</v>
      </c>
      <c r="I13" s="89">
        <f t="shared" si="6"/>
        <v>1464</v>
      </c>
      <c r="J13" s="259"/>
      <c r="K13" s="89"/>
      <c r="L13" s="89"/>
      <c r="M13" s="89"/>
      <c r="N13" s="259"/>
      <c r="O13" s="260"/>
      <c r="P13" s="260">
        <f t="shared" si="1"/>
        <v>0</v>
      </c>
      <c r="Q13" s="260">
        <f t="shared" si="5"/>
        <v>0</v>
      </c>
      <c r="R13" s="259"/>
      <c r="S13" s="260">
        <f t="shared" si="7"/>
        <v>0</v>
      </c>
      <c r="T13" s="259"/>
      <c r="U13" s="20"/>
      <c r="V13" s="20"/>
      <c r="W13" s="259"/>
      <c r="X13" s="259"/>
      <c r="Y13" s="258"/>
      <c r="Z13" s="258"/>
      <c r="AA13" s="259"/>
      <c r="AB13" s="258"/>
      <c r="AC13" s="258"/>
      <c r="AD13" s="259"/>
      <c r="AE13" s="258"/>
      <c r="AF13" s="258"/>
      <c r="AG13" s="259"/>
      <c r="AH13" s="259" t="s">
        <v>8</v>
      </c>
      <c r="AI13" s="259" t="s">
        <v>1547</v>
      </c>
    </row>
    <row r="14" spans="1:35" ht="24" x14ac:dyDescent="0.25">
      <c r="A14" s="257">
        <v>13</v>
      </c>
      <c r="B14" s="69" t="s">
        <v>8</v>
      </c>
      <c r="C14" s="258" t="s">
        <v>931</v>
      </c>
      <c r="D14" s="9" t="s">
        <v>1642</v>
      </c>
      <c r="E14" s="258" t="s">
        <v>532</v>
      </c>
      <c r="F14" s="259">
        <v>6</v>
      </c>
      <c r="G14" s="260">
        <v>100</v>
      </c>
      <c r="H14" s="89">
        <f t="shared" si="3"/>
        <v>600</v>
      </c>
      <c r="I14" s="89">
        <f t="shared" si="6"/>
        <v>732</v>
      </c>
      <c r="J14" s="259"/>
      <c r="K14" s="89"/>
      <c r="L14" s="89"/>
      <c r="M14" s="89"/>
      <c r="N14" s="259"/>
      <c r="O14" s="260"/>
      <c r="P14" s="260"/>
      <c r="Q14" s="260"/>
      <c r="R14" s="259"/>
      <c r="S14" s="260"/>
      <c r="T14" s="259"/>
      <c r="U14" s="20"/>
      <c r="V14" s="20"/>
      <c r="W14" s="259"/>
      <c r="X14" s="259"/>
      <c r="Y14" s="258"/>
      <c r="Z14" s="258"/>
      <c r="AA14" s="259"/>
      <c r="AB14" s="258"/>
      <c r="AC14" s="258"/>
      <c r="AD14" s="259"/>
      <c r="AE14" s="258"/>
      <c r="AF14" s="258"/>
      <c r="AG14" s="259"/>
      <c r="AH14" s="259"/>
      <c r="AI14" s="259"/>
    </row>
    <row r="15" spans="1:35" ht="24" x14ac:dyDescent="0.25">
      <c r="A15" s="257">
        <v>14</v>
      </c>
      <c r="B15" s="69" t="s">
        <v>8</v>
      </c>
      <c r="C15" s="258" t="s">
        <v>931</v>
      </c>
      <c r="D15" s="9" t="s">
        <v>1642</v>
      </c>
      <c r="E15" s="258" t="s">
        <v>1652</v>
      </c>
      <c r="F15" s="259">
        <v>6</v>
      </c>
      <c r="G15" s="260">
        <v>3600</v>
      </c>
      <c r="H15" s="89">
        <f t="shared" si="3"/>
        <v>21600</v>
      </c>
      <c r="I15" s="89">
        <f t="shared" si="6"/>
        <v>26352</v>
      </c>
      <c r="J15" s="259"/>
      <c r="K15" s="89"/>
      <c r="L15" s="89"/>
      <c r="M15" s="89"/>
      <c r="N15" s="259"/>
      <c r="O15" s="260"/>
      <c r="P15" s="260">
        <f t="shared" si="1"/>
        <v>0</v>
      </c>
      <c r="Q15" s="260">
        <f t="shared" si="5"/>
        <v>0</v>
      </c>
      <c r="R15" s="259"/>
      <c r="S15" s="260">
        <f t="shared" si="7"/>
        <v>0</v>
      </c>
      <c r="T15" s="259"/>
      <c r="U15" s="20"/>
      <c r="V15" s="20"/>
      <c r="W15" s="259"/>
      <c r="X15" s="259"/>
      <c r="Y15" s="258"/>
      <c r="Z15" s="258"/>
      <c r="AA15" s="259"/>
      <c r="AB15" s="258"/>
      <c r="AC15" s="258"/>
      <c r="AD15" s="259"/>
      <c r="AE15" s="258"/>
      <c r="AF15" s="258"/>
      <c r="AG15" s="259"/>
      <c r="AH15" s="259" t="s">
        <v>8</v>
      </c>
      <c r="AI15" s="259" t="s">
        <v>1547</v>
      </c>
    </row>
    <row r="16" spans="1:35" ht="24" x14ac:dyDescent="0.25">
      <c r="A16" s="257">
        <v>15</v>
      </c>
      <c r="B16" s="69" t="s">
        <v>8</v>
      </c>
      <c r="C16" s="258" t="s">
        <v>931</v>
      </c>
      <c r="D16" s="9" t="s">
        <v>1642</v>
      </c>
      <c r="E16" s="258" t="s">
        <v>1653</v>
      </c>
      <c r="F16" s="259">
        <v>6</v>
      </c>
      <c r="G16" s="260">
        <v>1000</v>
      </c>
      <c r="H16" s="89">
        <f t="shared" si="3"/>
        <v>6000</v>
      </c>
      <c r="I16" s="89">
        <f t="shared" si="6"/>
        <v>7320</v>
      </c>
      <c r="J16" s="259"/>
      <c r="K16" s="89"/>
      <c r="L16" s="89"/>
      <c r="M16" s="89"/>
      <c r="N16" s="259"/>
      <c r="O16" s="260"/>
      <c r="P16" s="260">
        <f t="shared" si="1"/>
        <v>0</v>
      </c>
      <c r="Q16" s="260">
        <f t="shared" si="5"/>
        <v>0</v>
      </c>
      <c r="R16" s="259"/>
      <c r="S16" s="260">
        <f t="shared" si="7"/>
        <v>0</v>
      </c>
      <c r="T16" s="259" t="e">
        <f t="shared" si="2"/>
        <v>#DIV/0!</v>
      </c>
      <c r="U16" s="20"/>
      <c r="V16" s="20"/>
      <c r="W16" s="259"/>
      <c r="X16" s="259"/>
      <c r="Y16" s="258"/>
      <c r="Z16" s="258"/>
      <c r="AA16" s="259"/>
      <c r="AB16" s="258"/>
      <c r="AC16" s="258"/>
      <c r="AD16" s="259"/>
      <c r="AE16" s="258"/>
      <c r="AF16" s="258"/>
      <c r="AG16" s="259"/>
      <c r="AH16" s="259" t="s">
        <v>8</v>
      </c>
      <c r="AI16" s="259" t="s">
        <v>1547</v>
      </c>
    </row>
    <row r="17" spans="1:35" ht="24" x14ac:dyDescent="0.25">
      <c r="A17" s="257">
        <v>16</v>
      </c>
      <c r="B17" s="69" t="s">
        <v>8</v>
      </c>
      <c r="C17" s="258" t="s">
        <v>931</v>
      </c>
      <c r="D17" s="9" t="s">
        <v>1642</v>
      </c>
      <c r="E17" s="258" t="s">
        <v>1654</v>
      </c>
      <c r="F17" s="259">
        <v>6</v>
      </c>
      <c r="G17" s="260">
        <v>2500</v>
      </c>
      <c r="H17" s="89">
        <f t="shared" si="3"/>
        <v>15000</v>
      </c>
      <c r="I17" s="89">
        <f t="shared" si="6"/>
        <v>18300</v>
      </c>
      <c r="J17" s="259"/>
      <c r="K17" s="89"/>
      <c r="L17" s="89"/>
      <c r="M17" s="89"/>
      <c r="N17" s="259"/>
      <c r="O17" s="260"/>
      <c r="P17" s="260">
        <f t="shared" si="1"/>
        <v>0</v>
      </c>
      <c r="Q17" s="260">
        <f t="shared" si="5"/>
        <v>0</v>
      </c>
      <c r="R17" s="259"/>
      <c r="S17" s="260">
        <f t="shared" si="7"/>
        <v>0</v>
      </c>
      <c r="T17" s="259" t="e">
        <f t="shared" si="2"/>
        <v>#DIV/0!</v>
      </c>
      <c r="U17" s="20"/>
      <c r="V17" s="20"/>
      <c r="W17" s="259"/>
      <c r="X17" s="259"/>
      <c r="Y17" s="258"/>
      <c r="Z17" s="258"/>
      <c r="AA17" s="259"/>
      <c r="AB17" s="258"/>
      <c r="AC17" s="258"/>
      <c r="AD17" s="259"/>
      <c r="AE17" s="258"/>
      <c r="AF17" s="258"/>
      <c r="AG17" s="259"/>
      <c r="AH17" s="259" t="s">
        <v>8</v>
      </c>
      <c r="AI17" s="259" t="s">
        <v>1547</v>
      </c>
    </row>
    <row r="18" spans="1:35" ht="24" x14ac:dyDescent="0.25">
      <c r="A18" s="257">
        <v>17</v>
      </c>
      <c r="B18" s="69" t="s">
        <v>8</v>
      </c>
      <c r="C18" s="258" t="s">
        <v>931</v>
      </c>
      <c r="D18" s="9" t="s">
        <v>1642</v>
      </c>
      <c r="E18" s="258" t="s">
        <v>1644</v>
      </c>
      <c r="F18" s="259">
        <v>1</v>
      </c>
      <c r="G18" s="260">
        <v>18000</v>
      </c>
      <c r="H18" s="89">
        <f t="shared" si="3"/>
        <v>18000</v>
      </c>
      <c r="I18" s="89">
        <f t="shared" si="6"/>
        <v>21960</v>
      </c>
      <c r="J18" s="259"/>
      <c r="K18" s="89"/>
      <c r="L18" s="89"/>
      <c r="M18" s="89"/>
      <c r="N18" s="259"/>
      <c r="O18" s="260"/>
      <c r="P18" s="260"/>
      <c r="Q18" s="260"/>
      <c r="R18" s="259"/>
      <c r="S18" s="260"/>
      <c r="T18" s="259"/>
      <c r="U18" s="20"/>
      <c r="V18" s="20"/>
      <c r="W18" s="259"/>
      <c r="X18" s="259"/>
      <c r="Y18" s="258"/>
      <c r="Z18" s="258"/>
      <c r="AA18" s="259"/>
      <c r="AB18" s="258"/>
      <c r="AC18" s="258"/>
      <c r="AD18" s="259"/>
      <c r="AE18" s="258"/>
      <c r="AF18" s="258"/>
      <c r="AG18" s="259"/>
      <c r="AH18" s="259" t="s">
        <v>8</v>
      </c>
      <c r="AI18" s="259" t="s">
        <v>1547</v>
      </c>
    </row>
    <row r="19" spans="1:35" x14ac:dyDescent="0.25">
      <c r="A19" s="454" t="s">
        <v>59</v>
      </c>
      <c r="B19" s="455"/>
      <c r="C19" s="454"/>
      <c r="D19" s="454"/>
      <c r="E19" s="454"/>
      <c r="F19" s="454"/>
      <c r="G19" s="454"/>
      <c r="H19" s="454"/>
      <c r="I19" s="37">
        <f>SUM(I2:I18)</f>
        <v>120000.004407</v>
      </c>
      <c r="N19" s="181"/>
      <c r="O19" s="181"/>
      <c r="P19" s="181"/>
      <c r="Q19" s="2">
        <f>SUM(Q2:Q17)</f>
        <v>0</v>
      </c>
      <c r="R19" s="181"/>
      <c r="S19" s="2">
        <f>SUM(S2:S17)</f>
        <v>12200</v>
      </c>
    </row>
    <row r="20" spans="1:35" ht="11.65" x14ac:dyDescent="0.25">
      <c r="Q20" s="67"/>
    </row>
  </sheetData>
  <autoFilter ref="A1:AI19"/>
  <mergeCells count="1">
    <mergeCell ref="A19:H19"/>
  </mergeCells>
  <printOptions horizontalCentered="1"/>
  <pageMargins left="0" right="0" top="0.39370078740157483" bottom="0.39370078740157483" header="0.23622047244094491" footer="0.23622047244094491"/>
  <pageSetup paperSize="9" scale="56" orientation="landscape" horizontalDpi="4294967294" verticalDpi="4294967294" r:id="rId1"/>
  <headerFooter alignWithMargins="0">
    <oddHeader>&amp;C&amp;"Garamond,Normale"&amp;A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9"/>
  <sheetViews>
    <sheetView topLeftCell="M1" workbookViewId="0">
      <pane ySplit="1" topLeftCell="A29" activePane="bottomLeft" state="frozen"/>
      <selection pane="bottomLeft" activeCell="AE30" sqref="AE30"/>
    </sheetView>
  </sheetViews>
  <sheetFormatPr defaultColWidth="9" defaultRowHeight="15" x14ac:dyDescent="0.25"/>
  <cols>
    <col min="1" max="1" width="12.28515625" style="261" customWidth="1"/>
    <col min="2" max="2" width="6.140625" style="255" customWidth="1"/>
    <col min="3" max="4" width="9" style="255"/>
    <col min="5" max="5" width="17.85546875" style="255" customWidth="1"/>
    <col min="6" max="6" width="9" style="255"/>
    <col min="7" max="7" width="13.28515625" style="255" customWidth="1"/>
    <col min="8" max="8" width="18.28515625" style="255" customWidth="1"/>
    <col min="9" max="9" width="9.7109375" style="255" bestFit="1" customWidth="1"/>
    <col min="10" max="10" width="9" style="255"/>
    <col min="11" max="11" width="12.7109375" style="255" bestFit="1" customWidth="1"/>
    <col min="12" max="12" width="11.5703125" style="255" bestFit="1" customWidth="1"/>
    <col min="13" max="13" width="12.42578125" style="255" bestFit="1" customWidth="1"/>
    <col min="14" max="14" width="9" style="255"/>
    <col min="15" max="15" width="15.5703125" style="255" customWidth="1"/>
    <col min="16" max="16" width="13.28515625" style="255" bestFit="1" customWidth="1"/>
    <col min="17" max="17" width="13" style="255" bestFit="1" customWidth="1"/>
    <col min="18" max="18" width="9" style="303"/>
    <col min="19" max="19" width="11.42578125" style="255" bestFit="1" customWidth="1"/>
    <col min="20" max="21" width="9" style="255"/>
    <col min="22" max="22" width="10.42578125" style="255" bestFit="1" customWidth="1"/>
    <col min="23" max="23" width="10.5703125" style="255" bestFit="1" customWidth="1"/>
    <col min="24" max="24" width="10.42578125" style="255" bestFit="1" customWidth="1"/>
    <col min="25" max="25" width="9" style="255"/>
    <col min="26" max="26" width="19.140625" style="255" bestFit="1" customWidth="1"/>
    <col min="27" max="27" width="10.85546875" style="255" bestFit="1" customWidth="1"/>
    <col min="28" max="28" width="16" style="255" bestFit="1" customWidth="1"/>
    <col min="29" max="29" width="13.7109375" style="255" customWidth="1"/>
    <col min="30" max="30" width="9" style="255"/>
    <col min="31" max="31" width="9.42578125" style="255" customWidth="1"/>
    <col min="32" max="34" width="9" style="255"/>
    <col min="35" max="35" width="13.7109375" style="255" customWidth="1"/>
    <col min="36" max="16384" width="9" style="255"/>
  </cols>
  <sheetData>
    <row r="1" spans="1:35" s="170" customFormat="1" ht="37.9" customHeight="1" x14ac:dyDescent="0.25">
      <c r="A1" s="290" t="s">
        <v>0</v>
      </c>
      <c r="B1" s="66" t="s">
        <v>1</v>
      </c>
      <c r="C1" s="66" t="s">
        <v>2</v>
      </c>
      <c r="D1" s="66" t="s">
        <v>3</v>
      </c>
      <c r="E1" s="66" t="s">
        <v>4</v>
      </c>
      <c r="F1" s="66" t="s">
        <v>5</v>
      </c>
      <c r="G1" s="66" t="s">
        <v>186</v>
      </c>
      <c r="H1" s="66" t="s">
        <v>92</v>
      </c>
      <c r="I1" s="66" t="s">
        <v>61</v>
      </c>
      <c r="J1" s="66" t="s">
        <v>5</v>
      </c>
      <c r="K1" s="189" t="s">
        <v>105</v>
      </c>
      <c r="L1" s="66" t="s">
        <v>92</v>
      </c>
      <c r="M1" s="66" t="s">
        <v>61</v>
      </c>
      <c r="N1" s="66" t="s">
        <v>5</v>
      </c>
      <c r="O1" s="66" t="s">
        <v>67</v>
      </c>
      <c r="P1" s="66" t="s">
        <v>6</v>
      </c>
      <c r="Q1" s="66" t="s">
        <v>7</v>
      </c>
      <c r="R1" s="291" t="s">
        <v>313</v>
      </c>
      <c r="S1" s="66" t="s">
        <v>93</v>
      </c>
      <c r="T1" s="66" t="s">
        <v>267</v>
      </c>
      <c r="U1" s="66" t="s">
        <v>106</v>
      </c>
      <c r="V1" s="66" t="s">
        <v>107</v>
      </c>
      <c r="W1" s="66" t="s">
        <v>108</v>
      </c>
      <c r="X1" s="66" t="s">
        <v>109</v>
      </c>
      <c r="Y1" s="66" t="s">
        <v>110</v>
      </c>
      <c r="Z1" s="66" t="s">
        <v>111</v>
      </c>
      <c r="AA1" s="66" t="s">
        <v>112</v>
      </c>
      <c r="AB1" s="66" t="s">
        <v>113</v>
      </c>
      <c r="AC1" s="66" t="s">
        <v>114</v>
      </c>
      <c r="AD1" s="66" t="s">
        <v>115</v>
      </c>
      <c r="AE1" s="66" t="s">
        <v>116</v>
      </c>
      <c r="AF1" s="66" t="s">
        <v>117</v>
      </c>
      <c r="AG1" s="66" t="s">
        <v>118</v>
      </c>
      <c r="AH1" s="64" t="s">
        <v>1544</v>
      </c>
      <c r="AI1" s="64" t="s">
        <v>1540</v>
      </c>
    </row>
    <row r="2" spans="1:35" s="170" customFormat="1" ht="37.9" customHeight="1" x14ac:dyDescent="0.25">
      <c r="A2" s="316" t="s">
        <v>1793</v>
      </c>
      <c r="B2" s="317" t="s">
        <v>8</v>
      </c>
      <c r="C2" s="258" t="s">
        <v>9</v>
      </c>
      <c r="D2" s="285" t="s">
        <v>1664</v>
      </c>
      <c r="E2" s="258" t="s">
        <v>1736</v>
      </c>
      <c r="F2" s="346">
        <v>11</v>
      </c>
      <c r="G2" s="347">
        <v>14776.32</v>
      </c>
      <c r="H2" s="386">
        <f t="shared" ref="H2:H3" si="0">F2*G2</f>
        <v>162539.51999999999</v>
      </c>
      <c r="I2" s="386">
        <f>H2*1.22</f>
        <v>198298.2144</v>
      </c>
      <c r="J2" s="319">
        <v>11</v>
      </c>
      <c r="K2" s="318">
        <v>14800</v>
      </c>
      <c r="L2" s="318">
        <f t="shared" ref="L2:L3" si="1">J2*K2</f>
        <v>162800</v>
      </c>
      <c r="M2" s="318">
        <f t="shared" ref="M2" si="2">L2*1.22</f>
        <v>198616</v>
      </c>
      <c r="N2" s="346">
        <v>11</v>
      </c>
      <c r="O2" s="347">
        <v>14776.32</v>
      </c>
      <c r="P2" s="386">
        <f t="shared" ref="P2:P3" si="3">N2*O2</f>
        <v>162539.51999999999</v>
      </c>
      <c r="Q2" s="386">
        <f>P2*1.22</f>
        <v>198298.2144</v>
      </c>
      <c r="R2" s="13">
        <v>2021</v>
      </c>
      <c r="S2" s="386">
        <f>I2-Q2</f>
        <v>0</v>
      </c>
      <c r="T2" s="50">
        <f t="shared" ref="T2" si="4">1-Q2/M2</f>
        <v>1.6000000000000458E-3</v>
      </c>
      <c r="U2" s="156">
        <v>44165</v>
      </c>
      <c r="V2" s="292">
        <v>44176</v>
      </c>
      <c r="W2" s="292">
        <v>44278</v>
      </c>
      <c r="X2" s="292">
        <v>44285</v>
      </c>
      <c r="Y2" s="156" t="s">
        <v>1738</v>
      </c>
      <c r="Z2" s="156" t="s">
        <v>1739</v>
      </c>
      <c r="AA2" s="156" t="s">
        <v>1740</v>
      </c>
      <c r="AB2" s="296" t="s">
        <v>1744</v>
      </c>
      <c r="AC2" s="285" t="s">
        <v>1741</v>
      </c>
      <c r="AD2" s="285" t="s">
        <v>1741</v>
      </c>
      <c r="AE2" s="156" t="s">
        <v>1742</v>
      </c>
      <c r="AF2" s="156" t="s">
        <v>1641</v>
      </c>
      <c r="AG2" s="156" t="s">
        <v>1743</v>
      </c>
      <c r="AH2" s="156" t="s">
        <v>8</v>
      </c>
      <c r="AI2" s="292" t="s">
        <v>1541</v>
      </c>
    </row>
    <row r="3" spans="1:35" s="170" customFormat="1" ht="37.9" customHeight="1" x14ac:dyDescent="0.25">
      <c r="A3" s="316" t="s">
        <v>1794</v>
      </c>
      <c r="B3" s="317" t="s">
        <v>8</v>
      </c>
      <c r="C3" s="258" t="s">
        <v>9</v>
      </c>
      <c r="D3" s="285" t="s">
        <v>1664</v>
      </c>
      <c r="E3" s="285" t="s">
        <v>1697</v>
      </c>
      <c r="F3" s="346">
        <v>11</v>
      </c>
      <c r="G3" s="386">
        <v>15000</v>
      </c>
      <c r="H3" s="386">
        <f t="shared" si="0"/>
        <v>165000</v>
      </c>
      <c r="I3" s="386">
        <f>H3</f>
        <v>165000</v>
      </c>
      <c r="J3" s="319">
        <v>11</v>
      </c>
      <c r="K3" s="318">
        <v>15000</v>
      </c>
      <c r="L3" s="318">
        <f t="shared" si="1"/>
        <v>165000</v>
      </c>
      <c r="M3" s="318">
        <f>L3</f>
        <v>165000</v>
      </c>
      <c r="N3" s="346">
        <v>11</v>
      </c>
      <c r="O3" s="386">
        <v>15000</v>
      </c>
      <c r="P3" s="386">
        <f t="shared" si="3"/>
        <v>165000</v>
      </c>
      <c r="Q3" s="386">
        <f>P3</f>
        <v>165000</v>
      </c>
      <c r="R3" s="295"/>
      <c r="S3" s="386">
        <f t="shared" ref="S3:S30" si="5">I3-Q3</f>
        <v>0</v>
      </c>
      <c r="T3" s="50">
        <f t="shared" ref="T3:T33" si="6">1-Q3/M3</f>
        <v>0</v>
      </c>
      <c r="U3" s="293"/>
      <c r="V3" s="293"/>
      <c r="W3" s="293"/>
      <c r="X3" s="156"/>
      <c r="Y3" s="156"/>
      <c r="Z3" s="156"/>
      <c r="AA3" s="156"/>
      <c r="AB3" s="156"/>
      <c r="AC3" s="156">
        <v>44221</v>
      </c>
      <c r="AD3" s="156">
        <v>44221</v>
      </c>
      <c r="AE3" s="156"/>
      <c r="AF3" s="156"/>
      <c r="AG3" s="156"/>
      <c r="AH3" s="317" t="s">
        <v>1745</v>
      </c>
      <c r="AI3" s="344" t="s">
        <v>1806</v>
      </c>
    </row>
    <row r="4" spans="1:35" ht="72" x14ac:dyDescent="0.25">
      <c r="A4" s="316" t="s">
        <v>1801</v>
      </c>
      <c r="B4" s="317" t="s">
        <v>8</v>
      </c>
      <c r="C4" s="258" t="s">
        <v>9</v>
      </c>
      <c r="D4" s="285" t="s">
        <v>1664</v>
      </c>
      <c r="E4" s="285" t="s">
        <v>1795</v>
      </c>
      <c r="F4" s="346">
        <v>4</v>
      </c>
      <c r="G4" s="347">
        <f>H4/4</f>
        <v>7345</v>
      </c>
      <c r="H4" s="347">
        <v>29380</v>
      </c>
      <c r="I4" s="347">
        <v>30018.400000000001</v>
      </c>
      <c r="J4" s="319">
        <v>4</v>
      </c>
      <c r="K4" s="286">
        <f t="shared" ref="K4:K6" si="7">L4/J4</f>
        <v>7792.5</v>
      </c>
      <c r="L4" s="286">
        <v>31170</v>
      </c>
      <c r="M4" s="286">
        <f t="shared" ref="M4:M26" si="8">L4*1.22</f>
        <v>38027.4</v>
      </c>
      <c r="N4" s="346">
        <v>4</v>
      </c>
      <c r="O4" s="347">
        <f>P4/4</f>
        <v>7345</v>
      </c>
      <c r="P4" s="347">
        <v>29380</v>
      </c>
      <c r="Q4" s="347">
        <v>30018.400000000001</v>
      </c>
      <c r="R4" s="294">
        <v>2020</v>
      </c>
      <c r="S4" s="386">
        <f t="shared" si="5"/>
        <v>0</v>
      </c>
      <c r="T4" s="50">
        <f t="shared" si="6"/>
        <v>0.21061129606546858</v>
      </c>
      <c r="U4" s="294">
        <v>2020</v>
      </c>
      <c r="V4" s="292">
        <v>44152</v>
      </c>
      <c r="W4" s="156">
        <v>44160</v>
      </c>
      <c r="X4" s="156">
        <v>44166</v>
      </c>
      <c r="Y4" s="296" t="s">
        <v>1680</v>
      </c>
      <c r="Z4" s="319" t="s">
        <v>1684</v>
      </c>
      <c r="AA4" s="319" t="s">
        <v>1678</v>
      </c>
      <c r="AB4" s="296" t="s">
        <v>1680</v>
      </c>
      <c r="AC4" s="292">
        <v>44181</v>
      </c>
      <c r="AD4" s="292">
        <v>44187</v>
      </c>
      <c r="AE4" s="292" t="s">
        <v>1688</v>
      </c>
      <c r="AF4" s="292" t="s">
        <v>1695</v>
      </c>
      <c r="AG4" s="292" t="s">
        <v>1692</v>
      </c>
      <c r="AH4" s="156" t="s">
        <v>8</v>
      </c>
      <c r="AI4" s="292" t="s">
        <v>1541</v>
      </c>
    </row>
    <row r="5" spans="1:35" ht="48" x14ac:dyDescent="0.25">
      <c r="A5" s="343" t="s">
        <v>1800</v>
      </c>
      <c r="B5" s="317" t="s">
        <v>8</v>
      </c>
      <c r="C5" s="258" t="s">
        <v>9</v>
      </c>
      <c r="D5" s="285" t="s">
        <v>1664</v>
      </c>
      <c r="E5" s="285" t="s">
        <v>1796</v>
      </c>
      <c r="F5" s="346">
        <v>4</v>
      </c>
      <c r="G5" s="347">
        <v>3031.7350000000001</v>
      </c>
      <c r="H5" s="347">
        <v>12126.94</v>
      </c>
      <c r="I5" s="347">
        <v>12126.94</v>
      </c>
      <c r="J5" s="319">
        <v>4</v>
      </c>
      <c r="K5" s="286">
        <f>L5/J5</f>
        <v>3125.5</v>
      </c>
      <c r="L5" s="286">
        <v>12502</v>
      </c>
      <c r="M5" s="286">
        <f>L5*1.22</f>
        <v>15252.44</v>
      </c>
      <c r="N5" s="346">
        <v>4</v>
      </c>
      <c r="O5" s="347">
        <v>3031.7350000000001</v>
      </c>
      <c r="P5" s="347">
        <v>12126.94</v>
      </c>
      <c r="Q5" s="347">
        <v>12126.94</v>
      </c>
      <c r="R5" s="294">
        <v>2020</v>
      </c>
      <c r="S5" s="386">
        <f t="shared" si="5"/>
        <v>0</v>
      </c>
      <c r="T5" s="50">
        <f t="shared" si="6"/>
        <v>0.20491803278688525</v>
      </c>
      <c r="U5" s="294">
        <v>2020</v>
      </c>
      <c r="V5" s="292">
        <v>44152</v>
      </c>
      <c r="W5" s="156">
        <v>44160</v>
      </c>
      <c r="X5" s="156">
        <v>44166</v>
      </c>
      <c r="Y5" s="296" t="s">
        <v>1680</v>
      </c>
      <c r="Z5" s="319" t="s">
        <v>1683</v>
      </c>
      <c r="AA5" s="319" t="s">
        <v>1677</v>
      </c>
      <c r="AB5" s="296" t="s">
        <v>1680</v>
      </c>
      <c r="AC5" s="292">
        <v>44179</v>
      </c>
      <c r="AD5" s="301">
        <v>44232</v>
      </c>
      <c r="AE5" s="319" t="s">
        <v>1687</v>
      </c>
      <c r="AF5" s="288" t="s">
        <v>1694</v>
      </c>
      <c r="AG5" s="319" t="s">
        <v>1691</v>
      </c>
      <c r="AH5" s="156" t="s">
        <v>8</v>
      </c>
      <c r="AI5" s="292" t="s">
        <v>1541</v>
      </c>
    </row>
    <row r="6" spans="1:35" ht="48" x14ac:dyDescent="0.25">
      <c r="A6" s="343" t="s">
        <v>1802</v>
      </c>
      <c r="B6" s="317" t="s">
        <v>8</v>
      </c>
      <c r="C6" s="258" t="s">
        <v>9</v>
      </c>
      <c r="D6" s="285" t="s">
        <v>1664</v>
      </c>
      <c r="E6" s="285" t="s">
        <v>1798</v>
      </c>
      <c r="F6" s="346">
        <v>4</v>
      </c>
      <c r="G6" s="347">
        <v>3985.8</v>
      </c>
      <c r="H6" s="347">
        <v>15943.2</v>
      </c>
      <c r="I6" s="347">
        <v>16740.36</v>
      </c>
      <c r="J6" s="319">
        <v>4</v>
      </c>
      <c r="K6" s="286">
        <f t="shared" si="7"/>
        <v>3985.8</v>
      </c>
      <c r="L6" s="286">
        <v>15943.2</v>
      </c>
      <c r="M6" s="286">
        <f t="shared" si="8"/>
        <v>19450.704000000002</v>
      </c>
      <c r="N6" s="346">
        <v>4</v>
      </c>
      <c r="O6" s="347">
        <v>3985.8</v>
      </c>
      <c r="P6" s="347">
        <v>15943.2</v>
      </c>
      <c r="Q6" s="347">
        <v>16740.36</v>
      </c>
      <c r="R6" s="294">
        <v>2020</v>
      </c>
      <c r="S6" s="386">
        <f t="shared" si="5"/>
        <v>0</v>
      </c>
      <c r="T6" s="50">
        <f t="shared" si="6"/>
        <v>0.13934426229508201</v>
      </c>
      <c r="U6" s="294">
        <v>2020</v>
      </c>
      <c r="V6" s="292">
        <v>44152</v>
      </c>
      <c r="W6" s="156">
        <v>44161</v>
      </c>
      <c r="X6" s="156">
        <v>44172</v>
      </c>
      <c r="Y6" s="299" t="s">
        <v>1681</v>
      </c>
      <c r="Z6" s="319" t="s">
        <v>1685</v>
      </c>
      <c r="AA6" s="319" t="s">
        <v>1679</v>
      </c>
      <c r="AB6" s="299" t="s">
        <v>1681</v>
      </c>
      <c r="AC6" s="292">
        <v>44232</v>
      </c>
      <c r="AD6" s="292">
        <v>44232</v>
      </c>
      <c r="AE6" s="319" t="s">
        <v>1689</v>
      </c>
      <c r="AF6" s="319" t="s">
        <v>1694</v>
      </c>
      <c r="AG6" s="319" t="s">
        <v>1693</v>
      </c>
      <c r="AH6" s="156" t="s">
        <v>8</v>
      </c>
      <c r="AI6" s="292" t="s">
        <v>1541</v>
      </c>
    </row>
    <row r="7" spans="1:35" ht="48" x14ac:dyDescent="0.25">
      <c r="A7" s="316" t="s">
        <v>1797</v>
      </c>
      <c r="B7" s="317" t="s">
        <v>8</v>
      </c>
      <c r="C7" s="258" t="s">
        <v>9</v>
      </c>
      <c r="D7" s="285" t="s">
        <v>1664</v>
      </c>
      <c r="E7" s="285" t="s">
        <v>1799</v>
      </c>
      <c r="F7" s="346">
        <v>11</v>
      </c>
      <c r="G7" s="347">
        <v>1390</v>
      </c>
      <c r="H7" s="347">
        <v>15290</v>
      </c>
      <c r="I7" s="347">
        <v>15290</v>
      </c>
      <c r="J7" s="319">
        <v>11</v>
      </c>
      <c r="K7" s="286">
        <v>15400</v>
      </c>
      <c r="L7" s="286">
        <v>15400</v>
      </c>
      <c r="M7" s="286">
        <f>L7*1.22</f>
        <v>18788</v>
      </c>
      <c r="N7" s="319">
        <v>11</v>
      </c>
      <c r="O7" s="320">
        <v>1390</v>
      </c>
      <c r="P7" s="320">
        <v>15290</v>
      </c>
      <c r="Q7" s="320">
        <v>15290</v>
      </c>
      <c r="R7" s="294">
        <v>2021</v>
      </c>
      <c r="S7" s="386">
        <f t="shared" si="5"/>
        <v>0</v>
      </c>
      <c r="T7" s="50">
        <f t="shared" si="6"/>
        <v>0.18618266978922715</v>
      </c>
      <c r="U7" s="294">
        <v>2020</v>
      </c>
      <c r="V7" s="292">
        <v>44152</v>
      </c>
      <c r="W7" s="156">
        <v>44160</v>
      </c>
      <c r="X7" s="156">
        <v>44166</v>
      </c>
      <c r="Y7" s="296" t="s">
        <v>1680</v>
      </c>
      <c r="Z7" s="319" t="s">
        <v>1682</v>
      </c>
      <c r="AA7" s="319" t="s">
        <v>1676</v>
      </c>
      <c r="AB7" s="296" t="s">
        <v>1680</v>
      </c>
      <c r="AC7" s="292">
        <v>44179</v>
      </c>
      <c r="AD7" s="292">
        <v>44181</v>
      </c>
      <c r="AE7" s="292" t="s">
        <v>1686</v>
      </c>
      <c r="AF7" s="298" t="s">
        <v>1694</v>
      </c>
      <c r="AG7" s="292" t="s">
        <v>1690</v>
      </c>
      <c r="AH7" s="156" t="s">
        <v>8</v>
      </c>
      <c r="AI7" s="292" t="s">
        <v>1541</v>
      </c>
    </row>
    <row r="8" spans="1:35" ht="60" x14ac:dyDescent="0.25">
      <c r="A8" s="390" t="s">
        <v>1803</v>
      </c>
      <c r="B8" s="382" t="s">
        <v>8</v>
      </c>
      <c r="C8" s="383" t="s">
        <v>9</v>
      </c>
      <c r="D8" s="384" t="s">
        <v>1664</v>
      </c>
      <c r="E8" s="384" t="s">
        <v>1805</v>
      </c>
      <c r="F8" s="321">
        <v>1</v>
      </c>
      <c r="G8" s="322">
        <v>60000</v>
      </c>
      <c r="H8" s="322">
        <f t="shared" ref="H8" si="9">F8*G8</f>
        <v>60000</v>
      </c>
      <c r="I8" s="322">
        <f>H8*1.22</f>
        <v>73200</v>
      </c>
      <c r="J8" s="321"/>
      <c r="K8" s="286"/>
      <c r="L8" s="286"/>
      <c r="M8" s="286"/>
      <c r="N8" s="346"/>
      <c r="O8" s="347"/>
      <c r="P8" s="347"/>
      <c r="Q8" s="347"/>
      <c r="R8" s="294"/>
      <c r="S8" s="386"/>
      <c r="T8" s="50" t="e">
        <f t="shared" si="6"/>
        <v>#DIV/0!</v>
      </c>
      <c r="U8" s="294"/>
      <c r="V8" s="292"/>
      <c r="W8" s="156"/>
      <c r="X8" s="156"/>
      <c r="Y8" s="299"/>
      <c r="Z8" s="346"/>
      <c r="AA8" s="346"/>
      <c r="AB8" s="299"/>
      <c r="AC8" s="292"/>
      <c r="AD8" s="292"/>
      <c r="AE8" s="346"/>
      <c r="AF8" s="346"/>
      <c r="AG8" s="346"/>
      <c r="AH8" s="156" t="s">
        <v>8</v>
      </c>
      <c r="AI8" s="292" t="s">
        <v>1895</v>
      </c>
    </row>
    <row r="9" spans="1:35" ht="60" x14ac:dyDescent="0.25">
      <c r="A9" s="316" t="s">
        <v>1804</v>
      </c>
      <c r="B9" s="317" t="s">
        <v>8</v>
      </c>
      <c r="C9" s="258" t="s">
        <v>9</v>
      </c>
      <c r="D9" s="285" t="s">
        <v>1664</v>
      </c>
      <c r="E9" s="285" t="s">
        <v>1668</v>
      </c>
      <c r="F9" s="346">
        <v>11</v>
      </c>
      <c r="G9" s="347">
        <f>13600+4066.72/11</f>
        <v>13969.701818181818</v>
      </c>
      <c r="H9" s="347">
        <f>F9*G9</f>
        <v>153666.72</v>
      </c>
      <c r="I9" s="347">
        <f>H9*1.05</f>
        <v>161350.05600000001</v>
      </c>
      <c r="J9" s="319">
        <v>11</v>
      </c>
      <c r="K9" s="286">
        <f>L9/J9</f>
        <v>13727.272727272728</v>
      </c>
      <c r="L9" s="286">
        <v>151000</v>
      </c>
      <c r="M9" s="286">
        <f t="shared" ref="M9:M14" si="10">L9*1.22</f>
        <v>184220</v>
      </c>
      <c r="N9" s="319">
        <v>11</v>
      </c>
      <c r="O9" s="320">
        <f>13600+4066.72/11</f>
        <v>13969.701818181818</v>
      </c>
      <c r="P9" s="320">
        <f>N9*O9</f>
        <v>153666.72</v>
      </c>
      <c r="Q9" s="320">
        <f>P9*1.05</f>
        <v>161350.05600000001</v>
      </c>
      <c r="R9" s="294">
        <v>2020</v>
      </c>
      <c r="S9" s="386">
        <f t="shared" si="5"/>
        <v>0</v>
      </c>
      <c r="T9" s="50">
        <f t="shared" si="6"/>
        <v>0.12414473998480069</v>
      </c>
      <c r="U9" s="294">
        <v>2020</v>
      </c>
      <c r="V9" s="292">
        <v>44151</v>
      </c>
      <c r="W9" s="292">
        <v>44167</v>
      </c>
      <c r="X9" s="156">
        <v>44172</v>
      </c>
      <c r="Y9" s="299" t="s">
        <v>1681</v>
      </c>
      <c r="Z9" s="319" t="s">
        <v>1747</v>
      </c>
      <c r="AA9" s="319" t="s">
        <v>1746</v>
      </c>
      <c r="AB9" s="299" t="s">
        <v>1681</v>
      </c>
      <c r="AC9" s="301">
        <v>44242</v>
      </c>
      <c r="AD9" s="301">
        <v>44302</v>
      </c>
      <c r="AE9" s="319" t="s">
        <v>1748</v>
      </c>
      <c r="AF9" s="319" t="s">
        <v>1694</v>
      </c>
      <c r="AG9" s="319" t="s">
        <v>1749</v>
      </c>
      <c r="AH9" s="156" t="s">
        <v>8</v>
      </c>
      <c r="AI9" s="292" t="s">
        <v>1541</v>
      </c>
    </row>
    <row r="10" spans="1:35" ht="48" x14ac:dyDescent="0.25">
      <c r="A10" s="316" t="s">
        <v>1807</v>
      </c>
      <c r="B10" s="317" t="s">
        <v>8</v>
      </c>
      <c r="C10" s="258" t="s">
        <v>9</v>
      </c>
      <c r="D10" s="285" t="s">
        <v>1664</v>
      </c>
      <c r="E10" s="285" t="s">
        <v>1665</v>
      </c>
      <c r="F10" s="346">
        <v>1</v>
      </c>
      <c r="G10" s="347">
        <v>12800</v>
      </c>
      <c r="H10" s="347">
        <f t="shared" ref="H10:H20" si="11">F10*G10</f>
        <v>12800</v>
      </c>
      <c r="I10" s="347">
        <f>H10</f>
        <v>12800</v>
      </c>
      <c r="J10" s="319">
        <v>1</v>
      </c>
      <c r="K10" s="286">
        <v>13000</v>
      </c>
      <c r="L10" s="286">
        <f>K10</f>
        <v>13000</v>
      </c>
      <c r="M10" s="286">
        <f t="shared" si="10"/>
        <v>15860</v>
      </c>
      <c r="N10" s="319">
        <v>1</v>
      </c>
      <c r="O10" s="320">
        <v>12800</v>
      </c>
      <c r="P10" s="320">
        <f t="shared" ref="P10:P20" si="12">N10*O10</f>
        <v>12800</v>
      </c>
      <c r="Q10" s="320">
        <f>P10</f>
        <v>12800</v>
      </c>
      <c r="R10" s="294">
        <v>2020</v>
      </c>
      <c r="S10" s="386">
        <f t="shared" si="5"/>
        <v>0</v>
      </c>
      <c r="T10" s="50">
        <f t="shared" si="6"/>
        <v>0.19293820933165196</v>
      </c>
      <c r="U10" s="294">
        <v>2020</v>
      </c>
      <c r="V10" s="292">
        <v>44154</v>
      </c>
      <c r="W10" s="292">
        <v>44161</v>
      </c>
      <c r="X10" s="156">
        <v>44172</v>
      </c>
      <c r="Y10" s="299" t="s">
        <v>1681</v>
      </c>
      <c r="Z10" s="319" t="s">
        <v>1751</v>
      </c>
      <c r="AA10" s="319" t="s">
        <v>1750</v>
      </c>
      <c r="AB10" s="299" t="s">
        <v>1681</v>
      </c>
      <c r="AC10" s="292">
        <v>44189</v>
      </c>
      <c r="AD10" s="292">
        <v>44278</v>
      </c>
      <c r="AE10" s="292" t="s">
        <v>1752</v>
      </c>
      <c r="AF10" s="319" t="s">
        <v>1694</v>
      </c>
      <c r="AG10" s="292" t="s">
        <v>1753</v>
      </c>
      <c r="AH10" s="156" t="s">
        <v>8</v>
      </c>
      <c r="AI10" s="292" t="s">
        <v>1541</v>
      </c>
    </row>
    <row r="11" spans="1:35" ht="48" x14ac:dyDescent="0.25">
      <c r="A11" s="316" t="s">
        <v>1808</v>
      </c>
      <c r="B11" s="317" t="s">
        <v>8</v>
      </c>
      <c r="C11" s="258" t="s">
        <v>9</v>
      </c>
      <c r="D11" s="285" t="s">
        <v>1664</v>
      </c>
      <c r="E11" s="258" t="s">
        <v>37</v>
      </c>
      <c r="F11" s="346">
        <v>1</v>
      </c>
      <c r="G11" s="347">
        <v>15520</v>
      </c>
      <c r="H11" s="347">
        <f t="shared" si="11"/>
        <v>15520</v>
      </c>
      <c r="I11" s="347">
        <f>H11</f>
        <v>15520</v>
      </c>
      <c r="J11" s="319">
        <v>1</v>
      </c>
      <c r="K11" s="286">
        <v>14500</v>
      </c>
      <c r="L11" s="286">
        <v>14500</v>
      </c>
      <c r="M11" s="286">
        <f t="shared" si="10"/>
        <v>17690</v>
      </c>
      <c r="N11" s="319">
        <v>1</v>
      </c>
      <c r="O11" s="320">
        <v>15520</v>
      </c>
      <c r="P11" s="320">
        <f t="shared" si="12"/>
        <v>15520</v>
      </c>
      <c r="Q11" s="320">
        <f>P11</f>
        <v>15520</v>
      </c>
      <c r="R11" s="294">
        <v>2020</v>
      </c>
      <c r="S11" s="386">
        <f t="shared" si="5"/>
        <v>0</v>
      </c>
      <c r="T11" s="50">
        <f t="shared" si="6"/>
        <v>0.12266817410966646</v>
      </c>
      <c r="U11" s="294">
        <v>2020</v>
      </c>
      <c r="V11" s="292">
        <v>44154</v>
      </c>
      <c r="W11" s="292">
        <v>44161</v>
      </c>
      <c r="X11" s="156">
        <v>44151</v>
      </c>
      <c r="Y11" s="323" t="s">
        <v>1755</v>
      </c>
      <c r="Z11" s="319" t="s">
        <v>1756</v>
      </c>
      <c r="AA11" s="319" t="s">
        <v>1754</v>
      </c>
      <c r="AB11" s="299" t="s">
        <v>1681</v>
      </c>
      <c r="AC11" s="292">
        <v>44174</v>
      </c>
      <c r="AD11" s="292">
        <v>44181</v>
      </c>
      <c r="AE11" s="292" t="s">
        <v>1757</v>
      </c>
      <c r="AF11" s="319" t="s">
        <v>1694</v>
      </c>
      <c r="AG11" s="292" t="s">
        <v>1758</v>
      </c>
      <c r="AH11" s="156" t="s">
        <v>8</v>
      </c>
      <c r="AI11" s="292" t="s">
        <v>1541</v>
      </c>
    </row>
    <row r="12" spans="1:35" ht="48" x14ac:dyDescent="0.25">
      <c r="A12" s="302" t="s">
        <v>1809</v>
      </c>
      <c r="B12" s="317" t="s">
        <v>8</v>
      </c>
      <c r="C12" s="258" t="s">
        <v>9</v>
      </c>
      <c r="D12" s="287" t="s">
        <v>1664</v>
      </c>
      <c r="E12" s="258" t="s">
        <v>54</v>
      </c>
      <c r="F12" s="346">
        <v>1</v>
      </c>
      <c r="G12" s="347">
        <v>37679</v>
      </c>
      <c r="H12" s="347">
        <f t="shared" si="11"/>
        <v>37679</v>
      </c>
      <c r="I12" s="347">
        <f>H12*1.22</f>
        <v>45968.38</v>
      </c>
      <c r="J12" s="319">
        <v>1</v>
      </c>
      <c r="K12" s="289">
        <v>45000</v>
      </c>
      <c r="L12" s="289">
        <v>45000</v>
      </c>
      <c r="M12" s="286">
        <f t="shared" si="10"/>
        <v>54900</v>
      </c>
      <c r="N12" s="319">
        <v>1</v>
      </c>
      <c r="O12" s="320">
        <v>37679</v>
      </c>
      <c r="P12" s="320">
        <f t="shared" si="12"/>
        <v>37679</v>
      </c>
      <c r="Q12" s="320">
        <f>P12*1.22</f>
        <v>45968.38</v>
      </c>
      <c r="R12" s="294">
        <v>2021</v>
      </c>
      <c r="S12" s="386">
        <f t="shared" si="5"/>
        <v>0</v>
      </c>
      <c r="T12" s="50">
        <f t="shared" si="6"/>
        <v>0.16268888888888888</v>
      </c>
      <c r="U12" s="294">
        <v>2020</v>
      </c>
      <c r="V12" s="292">
        <v>44174</v>
      </c>
      <c r="W12" s="292">
        <v>44208</v>
      </c>
      <c r="X12" s="292">
        <v>44238</v>
      </c>
      <c r="Y12" s="323" t="s">
        <v>1759</v>
      </c>
      <c r="Z12" s="319" t="s">
        <v>1768</v>
      </c>
      <c r="AA12" s="288" t="s">
        <v>1762</v>
      </c>
      <c r="AB12" s="323" t="s">
        <v>1759</v>
      </c>
      <c r="AC12" s="298">
        <v>44350</v>
      </c>
      <c r="AD12" s="298">
        <v>44397</v>
      </c>
      <c r="AE12" s="287" t="s">
        <v>1760</v>
      </c>
      <c r="AF12" s="297"/>
      <c r="AG12" s="292" t="s">
        <v>1761</v>
      </c>
      <c r="AH12" s="156" t="s">
        <v>8</v>
      </c>
      <c r="AI12" s="292" t="s">
        <v>1541</v>
      </c>
    </row>
    <row r="13" spans="1:35" ht="72" x14ac:dyDescent="0.25">
      <c r="A13" s="316">
        <v>10</v>
      </c>
      <c r="B13" s="317" t="s">
        <v>8</v>
      </c>
      <c r="C13" s="258" t="s">
        <v>9</v>
      </c>
      <c r="D13" s="285" t="s">
        <v>1664</v>
      </c>
      <c r="E13" s="258" t="s">
        <v>65</v>
      </c>
      <c r="F13" s="346">
        <v>1</v>
      </c>
      <c r="G13" s="347">
        <v>1480</v>
      </c>
      <c r="H13" s="347">
        <f t="shared" si="11"/>
        <v>1480</v>
      </c>
      <c r="I13" s="347">
        <f>H13*1.05</f>
        <v>1554</v>
      </c>
      <c r="J13" s="319">
        <v>1</v>
      </c>
      <c r="K13" s="286">
        <v>3500</v>
      </c>
      <c r="L13" s="286">
        <v>3500</v>
      </c>
      <c r="M13" s="286">
        <f t="shared" si="10"/>
        <v>4270</v>
      </c>
      <c r="N13" s="319">
        <v>1</v>
      </c>
      <c r="O13" s="320">
        <v>1480</v>
      </c>
      <c r="P13" s="320">
        <f t="shared" si="12"/>
        <v>1480</v>
      </c>
      <c r="Q13" s="320">
        <f>P13*1.05</f>
        <v>1554</v>
      </c>
      <c r="R13" s="294">
        <v>2021</v>
      </c>
      <c r="S13" s="386">
        <f t="shared" si="5"/>
        <v>0</v>
      </c>
      <c r="T13" s="50">
        <f t="shared" si="6"/>
        <v>0.63606557377049178</v>
      </c>
      <c r="U13" s="294">
        <v>2020</v>
      </c>
      <c r="V13" s="292">
        <v>44158</v>
      </c>
      <c r="W13" s="292">
        <v>44208</v>
      </c>
      <c r="X13" s="292">
        <v>44238</v>
      </c>
      <c r="Y13" s="323" t="s">
        <v>1764</v>
      </c>
      <c r="Z13" s="319" t="s">
        <v>1765</v>
      </c>
      <c r="AA13" s="319" t="s">
        <v>1763</v>
      </c>
      <c r="AB13" s="299" t="s">
        <v>1764</v>
      </c>
      <c r="AC13" s="292">
        <v>44256</v>
      </c>
      <c r="AD13" s="319" t="s">
        <v>1766</v>
      </c>
      <c r="AE13" s="319" t="s">
        <v>1767</v>
      </c>
      <c r="AF13" s="297"/>
      <c r="AG13" s="319" t="s">
        <v>1769</v>
      </c>
      <c r="AH13" s="156" t="s">
        <v>8</v>
      </c>
      <c r="AI13" s="292" t="s">
        <v>1541</v>
      </c>
    </row>
    <row r="14" spans="1:35" ht="48" x14ac:dyDescent="0.25">
      <c r="A14" s="302" t="s">
        <v>1810</v>
      </c>
      <c r="B14" s="317" t="s">
        <v>8</v>
      </c>
      <c r="C14" s="258" t="s">
        <v>9</v>
      </c>
      <c r="D14" s="287" t="s">
        <v>1664</v>
      </c>
      <c r="E14" s="258" t="s">
        <v>1666</v>
      </c>
      <c r="F14" s="346">
        <v>3</v>
      </c>
      <c r="G14" s="386">
        <v>4772.57</v>
      </c>
      <c r="H14" s="347">
        <f t="shared" si="11"/>
        <v>14317.71</v>
      </c>
      <c r="I14" s="347">
        <f>H14*1.22</f>
        <v>17467.606199999998</v>
      </c>
      <c r="J14" s="319">
        <v>3</v>
      </c>
      <c r="K14" s="289">
        <v>6000</v>
      </c>
      <c r="L14" s="286">
        <f>J14*K14</f>
        <v>18000</v>
      </c>
      <c r="M14" s="286">
        <f t="shared" si="10"/>
        <v>21960</v>
      </c>
      <c r="N14" s="319">
        <v>3</v>
      </c>
      <c r="O14" s="318">
        <v>4772.57</v>
      </c>
      <c r="P14" s="320">
        <f t="shared" si="12"/>
        <v>14317.71</v>
      </c>
      <c r="Q14" s="320">
        <f>P14*1.22</f>
        <v>17467.606199999998</v>
      </c>
      <c r="R14" s="294">
        <v>2020</v>
      </c>
      <c r="S14" s="386">
        <f t="shared" si="5"/>
        <v>0</v>
      </c>
      <c r="T14" s="50">
        <f t="shared" si="6"/>
        <v>0.20457166666666671</v>
      </c>
      <c r="U14" s="294">
        <v>2020</v>
      </c>
      <c r="V14" s="292">
        <v>44155</v>
      </c>
      <c r="W14" s="292">
        <v>44167</v>
      </c>
      <c r="X14" s="156">
        <v>44172</v>
      </c>
      <c r="Y14" s="323" t="s">
        <v>1681</v>
      </c>
      <c r="Z14" s="288" t="s">
        <v>1771</v>
      </c>
      <c r="AA14" s="288" t="s">
        <v>1770</v>
      </c>
      <c r="AB14" s="323" t="s">
        <v>1681</v>
      </c>
      <c r="AC14" s="298">
        <v>44412</v>
      </c>
      <c r="AD14" s="298">
        <v>44446</v>
      </c>
      <c r="AE14" s="298" t="s">
        <v>1772</v>
      </c>
      <c r="AF14" s="297"/>
      <c r="AG14" s="319" t="s">
        <v>1773</v>
      </c>
      <c r="AH14" s="156" t="s">
        <v>8</v>
      </c>
      <c r="AI14" s="292" t="s">
        <v>1541</v>
      </c>
    </row>
    <row r="15" spans="1:35" ht="46.15" customHeight="1" x14ac:dyDescent="0.25">
      <c r="A15" s="343" t="s">
        <v>1811</v>
      </c>
      <c r="B15" s="478" t="s">
        <v>8</v>
      </c>
      <c r="C15" s="478" t="s">
        <v>9</v>
      </c>
      <c r="D15" s="462" t="s">
        <v>1664</v>
      </c>
      <c r="E15" s="258" t="s">
        <v>1670</v>
      </c>
      <c r="F15" s="346">
        <v>85</v>
      </c>
      <c r="G15" s="347">
        <v>927</v>
      </c>
      <c r="H15" s="347">
        <f t="shared" si="11"/>
        <v>78795</v>
      </c>
      <c r="I15" s="347">
        <f>H15</f>
        <v>78795</v>
      </c>
      <c r="J15" s="346">
        <v>85</v>
      </c>
      <c r="K15" s="345">
        <v>946</v>
      </c>
      <c r="L15" s="345">
        <f t="shared" ref="L15:L16" si="13">J15*K15</f>
        <v>80410</v>
      </c>
      <c r="M15" s="345">
        <f t="shared" ref="M15:M16" si="14">L15</f>
        <v>80410</v>
      </c>
      <c r="N15" s="346">
        <v>85</v>
      </c>
      <c r="O15" s="347">
        <v>927</v>
      </c>
      <c r="P15" s="347">
        <f t="shared" si="12"/>
        <v>78795</v>
      </c>
      <c r="Q15" s="347">
        <f>P15</f>
        <v>78795</v>
      </c>
      <c r="R15" s="468">
        <v>2020</v>
      </c>
      <c r="S15" s="386">
        <f t="shared" si="5"/>
        <v>0</v>
      </c>
      <c r="T15" s="50">
        <f t="shared" si="6"/>
        <v>2.0084566596194509E-2</v>
      </c>
      <c r="U15" s="468">
        <v>2020</v>
      </c>
      <c r="V15" s="464">
        <v>44159</v>
      </c>
      <c r="W15" s="464">
        <v>44167</v>
      </c>
      <c r="X15" s="472">
        <v>44172</v>
      </c>
      <c r="Y15" s="474" t="s">
        <v>1681</v>
      </c>
      <c r="Z15" s="476" t="s">
        <v>1818</v>
      </c>
      <c r="AA15" s="476" t="s">
        <v>1820</v>
      </c>
      <c r="AB15" s="474" t="s">
        <v>1681</v>
      </c>
      <c r="AC15" s="470">
        <v>44174</v>
      </c>
      <c r="AD15" s="470">
        <v>44180</v>
      </c>
      <c r="AE15" s="466" t="s">
        <v>1821</v>
      </c>
      <c r="AF15" s="297"/>
      <c r="AG15" s="462" t="s">
        <v>1822</v>
      </c>
      <c r="AH15" s="472" t="s">
        <v>8</v>
      </c>
      <c r="AI15" s="464" t="s">
        <v>1541</v>
      </c>
    </row>
    <row r="16" spans="1:35" ht="46.15" customHeight="1" x14ac:dyDescent="0.25">
      <c r="A16" s="343" t="s">
        <v>1813</v>
      </c>
      <c r="B16" s="479"/>
      <c r="C16" s="479"/>
      <c r="D16" s="463"/>
      <c r="E16" s="258" t="s">
        <v>1812</v>
      </c>
      <c r="F16" s="346">
        <v>1</v>
      </c>
      <c r="G16" s="347">
        <f>21760*0.176+28333*0.252+1700*5.8</f>
        <v>20829.675999999999</v>
      </c>
      <c r="H16" s="347">
        <f t="shared" si="11"/>
        <v>20829.675999999999</v>
      </c>
      <c r="I16" s="347">
        <f>(21760*0.176+28333*0.252)*1.22+(1700*5.8)</f>
        <v>23243.004719999997</v>
      </c>
      <c r="J16" s="346">
        <v>1</v>
      </c>
      <c r="K16" s="345">
        <v>18275.79</v>
      </c>
      <c r="L16" s="345">
        <f t="shared" si="13"/>
        <v>18275.79</v>
      </c>
      <c r="M16" s="345">
        <f t="shared" si="14"/>
        <v>18275.79</v>
      </c>
      <c r="N16" s="346">
        <v>1</v>
      </c>
      <c r="O16" s="347">
        <f>21760*0.176+28333*0.252+1700*5.8</f>
        <v>20829.675999999999</v>
      </c>
      <c r="P16" s="347">
        <f t="shared" si="12"/>
        <v>20829.675999999999</v>
      </c>
      <c r="Q16" s="347">
        <f>(21760*0.176+28333*0.252)*1.22+(1700*5.8)</f>
        <v>23243.004719999997</v>
      </c>
      <c r="R16" s="469"/>
      <c r="S16" s="386">
        <f t="shared" si="5"/>
        <v>0</v>
      </c>
      <c r="T16" s="50">
        <f t="shared" si="6"/>
        <v>-0.27179206589701432</v>
      </c>
      <c r="U16" s="469"/>
      <c r="V16" s="465"/>
      <c r="W16" s="465"/>
      <c r="X16" s="473"/>
      <c r="Y16" s="475"/>
      <c r="Z16" s="477"/>
      <c r="AA16" s="477"/>
      <c r="AB16" s="475"/>
      <c r="AC16" s="471"/>
      <c r="AD16" s="471"/>
      <c r="AE16" s="467"/>
      <c r="AF16" s="297"/>
      <c r="AG16" s="463"/>
      <c r="AH16" s="473"/>
      <c r="AI16" s="465"/>
    </row>
    <row r="17" spans="1:35" ht="24.75" x14ac:dyDescent="0.25">
      <c r="A17" s="343" t="s">
        <v>1824</v>
      </c>
      <c r="B17" s="478" t="s">
        <v>8</v>
      </c>
      <c r="C17" s="478" t="s">
        <v>9</v>
      </c>
      <c r="D17" s="462" t="s">
        <v>1664</v>
      </c>
      <c r="E17" s="258" t="s">
        <v>1671</v>
      </c>
      <c r="F17" s="346">
        <v>25</v>
      </c>
      <c r="G17" s="347">
        <v>1050</v>
      </c>
      <c r="H17" s="347">
        <f t="shared" si="11"/>
        <v>26250</v>
      </c>
      <c r="I17" s="347">
        <f>H17</f>
        <v>26250</v>
      </c>
      <c r="J17" s="346">
        <v>25</v>
      </c>
      <c r="K17" s="386">
        <v>1048</v>
      </c>
      <c r="L17" s="386">
        <f t="shared" ref="L17:L20" si="15">J17*K17</f>
        <v>26200</v>
      </c>
      <c r="M17" s="386">
        <f t="shared" ref="M17:M20" si="16">L17</f>
        <v>26200</v>
      </c>
      <c r="N17" s="346">
        <v>25</v>
      </c>
      <c r="O17" s="347">
        <v>1050</v>
      </c>
      <c r="P17" s="347">
        <f t="shared" si="12"/>
        <v>26250</v>
      </c>
      <c r="Q17" s="347">
        <f>P17</f>
        <v>26250</v>
      </c>
      <c r="R17" s="468">
        <v>2020</v>
      </c>
      <c r="S17" s="386">
        <f t="shared" si="5"/>
        <v>0</v>
      </c>
      <c r="T17" s="50">
        <f t="shared" si="6"/>
        <v>-1.9083969465649719E-3</v>
      </c>
      <c r="U17" s="468">
        <v>2020</v>
      </c>
      <c r="V17" s="464">
        <v>44159</v>
      </c>
      <c r="W17" s="464">
        <v>44168</v>
      </c>
      <c r="X17" s="472">
        <v>44172</v>
      </c>
      <c r="Y17" s="474" t="s">
        <v>1681</v>
      </c>
      <c r="Z17" s="351" t="s">
        <v>1827</v>
      </c>
      <c r="AA17" s="476" t="s">
        <v>1826</v>
      </c>
      <c r="AB17" s="474" t="s">
        <v>1681</v>
      </c>
      <c r="AC17" s="470">
        <v>44176</v>
      </c>
      <c r="AD17" s="470">
        <v>44252</v>
      </c>
      <c r="AE17" s="466" t="s">
        <v>1829</v>
      </c>
      <c r="AF17" s="297"/>
      <c r="AG17" s="462" t="s">
        <v>1830</v>
      </c>
      <c r="AH17" s="472" t="s">
        <v>8</v>
      </c>
      <c r="AI17" s="464" t="s">
        <v>1541</v>
      </c>
    </row>
    <row r="18" spans="1:35" ht="36.75" x14ac:dyDescent="0.25">
      <c r="A18" s="343" t="s">
        <v>1825</v>
      </c>
      <c r="B18" s="479"/>
      <c r="C18" s="479"/>
      <c r="D18" s="463"/>
      <c r="E18" s="258" t="s">
        <v>1823</v>
      </c>
      <c r="F18" s="346">
        <v>1</v>
      </c>
      <c r="G18" s="347">
        <f>2128*2.5</f>
        <v>5320</v>
      </c>
      <c r="H18" s="347">
        <f t="shared" si="11"/>
        <v>5320</v>
      </c>
      <c r="I18" s="347">
        <f>H18*1.05</f>
        <v>5586</v>
      </c>
      <c r="J18" s="346">
        <v>1</v>
      </c>
      <c r="K18" s="386">
        <f>2128*3.78</f>
        <v>8043.8399999999992</v>
      </c>
      <c r="L18" s="386">
        <f t="shared" si="15"/>
        <v>8043.8399999999992</v>
      </c>
      <c r="M18" s="386">
        <f t="shared" si="16"/>
        <v>8043.8399999999992</v>
      </c>
      <c r="N18" s="346">
        <v>1</v>
      </c>
      <c r="O18" s="347">
        <f>2128*2.5</f>
        <v>5320</v>
      </c>
      <c r="P18" s="347">
        <f t="shared" si="12"/>
        <v>5320</v>
      </c>
      <c r="Q18" s="347">
        <f>P18*1.05</f>
        <v>5586</v>
      </c>
      <c r="R18" s="469"/>
      <c r="S18" s="386">
        <f t="shared" si="5"/>
        <v>0</v>
      </c>
      <c r="T18" s="50">
        <f t="shared" si="6"/>
        <v>0.30555555555555547</v>
      </c>
      <c r="U18" s="469"/>
      <c r="V18" s="465"/>
      <c r="W18" s="465"/>
      <c r="X18" s="473"/>
      <c r="Y18" s="475"/>
      <c r="Z18" s="351" t="s">
        <v>1828</v>
      </c>
      <c r="AA18" s="477"/>
      <c r="AB18" s="475"/>
      <c r="AC18" s="471"/>
      <c r="AD18" s="471"/>
      <c r="AE18" s="467"/>
      <c r="AF18" s="297"/>
      <c r="AG18" s="463"/>
      <c r="AH18" s="473"/>
      <c r="AI18" s="465"/>
    </row>
    <row r="19" spans="1:35" ht="24.75" x14ac:dyDescent="0.25">
      <c r="A19" s="343" t="s">
        <v>1831</v>
      </c>
      <c r="B19" s="478" t="s">
        <v>8</v>
      </c>
      <c r="C19" s="478" t="s">
        <v>9</v>
      </c>
      <c r="D19" s="462" t="s">
        <v>1664</v>
      </c>
      <c r="E19" s="258" t="s">
        <v>939</v>
      </c>
      <c r="F19" s="346">
        <v>25</v>
      </c>
      <c r="G19" s="347">
        <v>369</v>
      </c>
      <c r="H19" s="347">
        <f t="shared" si="11"/>
        <v>9225</v>
      </c>
      <c r="I19" s="347">
        <f>H19</f>
        <v>9225</v>
      </c>
      <c r="J19" s="346">
        <v>25</v>
      </c>
      <c r="K19" s="386">
        <v>369</v>
      </c>
      <c r="L19" s="386">
        <f t="shared" si="15"/>
        <v>9225</v>
      </c>
      <c r="M19" s="386">
        <f t="shared" si="16"/>
        <v>9225</v>
      </c>
      <c r="N19" s="346">
        <v>25</v>
      </c>
      <c r="O19" s="347">
        <v>369</v>
      </c>
      <c r="P19" s="347">
        <f t="shared" si="12"/>
        <v>9225</v>
      </c>
      <c r="Q19" s="347">
        <f>P19</f>
        <v>9225</v>
      </c>
      <c r="R19" s="468">
        <v>2020</v>
      </c>
      <c r="S19" s="386">
        <f t="shared" si="5"/>
        <v>0</v>
      </c>
      <c r="T19" s="50">
        <f t="shared" si="6"/>
        <v>0</v>
      </c>
      <c r="U19" s="468">
        <v>2020</v>
      </c>
      <c r="V19" s="464">
        <v>44157</v>
      </c>
      <c r="W19" s="464">
        <v>44161</v>
      </c>
      <c r="X19" s="472">
        <v>44172</v>
      </c>
      <c r="Y19" s="474" t="s">
        <v>1681</v>
      </c>
      <c r="Z19" s="351" t="s">
        <v>1835</v>
      </c>
      <c r="AA19" s="476" t="s">
        <v>1834</v>
      </c>
      <c r="AB19" s="474" t="s">
        <v>1681</v>
      </c>
      <c r="AC19" s="470">
        <v>44180</v>
      </c>
      <c r="AD19" s="470">
        <v>44264</v>
      </c>
      <c r="AE19" s="466" t="s">
        <v>1837</v>
      </c>
      <c r="AF19" s="297"/>
      <c r="AG19" s="462" t="s">
        <v>1838</v>
      </c>
      <c r="AH19" s="472" t="s">
        <v>8</v>
      </c>
      <c r="AI19" s="464" t="s">
        <v>1541</v>
      </c>
    </row>
    <row r="20" spans="1:35" ht="36.75" x14ac:dyDescent="0.25">
      <c r="A20" s="343" t="s">
        <v>1832</v>
      </c>
      <c r="B20" s="479"/>
      <c r="C20" s="479"/>
      <c r="D20" s="463"/>
      <c r="E20" s="258" t="s">
        <v>1833</v>
      </c>
      <c r="F20" s="346">
        <v>1</v>
      </c>
      <c r="G20" s="347">
        <f>1882*2+926*2.7</f>
        <v>6264.2000000000007</v>
      </c>
      <c r="H20" s="347">
        <f t="shared" si="11"/>
        <v>6264.2000000000007</v>
      </c>
      <c r="I20" s="347">
        <f>H20</f>
        <v>6264.2000000000007</v>
      </c>
      <c r="J20" s="346">
        <v>1</v>
      </c>
      <c r="K20" s="386">
        <f>1892*2+946*2.7</f>
        <v>6338.2000000000007</v>
      </c>
      <c r="L20" s="386">
        <f t="shared" si="15"/>
        <v>6338.2000000000007</v>
      </c>
      <c r="M20" s="386">
        <f t="shared" si="16"/>
        <v>6338.2000000000007</v>
      </c>
      <c r="N20" s="346">
        <v>1</v>
      </c>
      <c r="O20" s="347">
        <f>1882*2+926*2.7</f>
        <v>6264.2000000000007</v>
      </c>
      <c r="P20" s="347">
        <f t="shared" si="12"/>
        <v>6264.2000000000007</v>
      </c>
      <c r="Q20" s="347">
        <f>P20</f>
        <v>6264.2000000000007</v>
      </c>
      <c r="R20" s="469"/>
      <c r="S20" s="386">
        <f t="shared" si="5"/>
        <v>0</v>
      </c>
      <c r="T20" s="50">
        <f t="shared" si="6"/>
        <v>1.1675239026853079E-2</v>
      </c>
      <c r="U20" s="469"/>
      <c r="V20" s="465"/>
      <c r="W20" s="465"/>
      <c r="X20" s="473"/>
      <c r="Y20" s="475"/>
      <c r="Z20" s="351" t="s">
        <v>1836</v>
      </c>
      <c r="AA20" s="477"/>
      <c r="AB20" s="475"/>
      <c r="AC20" s="471"/>
      <c r="AD20" s="471"/>
      <c r="AE20" s="467"/>
      <c r="AF20" s="297"/>
      <c r="AG20" s="463"/>
      <c r="AH20" s="473"/>
      <c r="AI20" s="465"/>
    </row>
    <row r="21" spans="1:35" ht="24" x14ac:dyDescent="0.25">
      <c r="A21" s="343" t="s">
        <v>1814</v>
      </c>
      <c r="B21" s="478" t="s">
        <v>8</v>
      </c>
      <c r="C21" s="478" t="s">
        <v>9</v>
      </c>
      <c r="D21" s="462" t="s">
        <v>1664</v>
      </c>
      <c r="E21" s="258" t="s">
        <v>1816</v>
      </c>
      <c r="F21" s="346">
        <v>13</v>
      </c>
      <c r="G21" s="347">
        <v>3570</v>
      </c>
      <c r="H21" s="347">
        <f>F21*G21</f>
        <v>46410</v>
      </c>
      <c r="I21" s="347">
        <f>H21*1.05</f>
        <v>48730.5</v>
      </c>
      <c r="J21" s="346">
        <v>13</v>
      </c>
      <c r="K21" s="386">
        <v>3650</v>
      </c>
      <c r="L21" s="386">
        <f>J21*K21</f>
        <v>47450</v>
      </c>
      <c r="M21" s="386">
        <f>L21*1.22</f>
        <v>57889</v>
      </c>
      <c r="N21" s="346">
        <v>13</v>
      </c>
      <c r="O21" s="347">
        <v>3570</v>
      </c>
      <c r="P21" s="347">
        <f>N21*O21</f>
        <v>46410</v>
      </c>
      <c r="Q21" s="347">
        <f>P21*1.05</f>
        <v>48730.5</v>
      </c>
      <c r="R21" s="468">
        <v>2020</v>
      </c>
      <c r="S21" s="386">
        <f t="shared" si="5"/>
        <v>0</v>
      </c>
      <c r="T21" s="50">
        <f t="shared" si="6"/>
        <v>0.15820794969683361</v>
      </c>
      <c r="U21" s="468">
        <v>2020</v>
      </c>
      <c r="V21" s="464">
        <v>44159</v>
      </c>
      <c r="W21" s="464">
        <v>44167</v>
      </c>
      <c r="X21" s="472">
        <v>44172</v>
      </c>
      <c r="Y21" s="474" t="s">
        <v>1681</v>
      </c>
      <c r="Z21" s="476" t="s">
        <v>1819</v>
      </c>
      <c r="AA21" s="476" t="s">
        <v>1820</v>
      </c>
      <c r="AB21" s="474" t="s">
        <v>1681</v>
      </c>
      <c r="AC21" s="470">
        <v>44306</v>
      </c>
      <c r="AD21" s="470">
        <v>44306</v>
      </c>
      <c r="AE21" s="466" t="s">
        <v>1821</v>
      </c>
      <c r="AF21" s="297"/>
      <c r="AG21" s="462" t="s">
        <v>1822</v>
      </c>
      <c r="AH21" s="472" t="s">
        <v>8</v>
      </c>
      <c r="AI21" s="292" t="s">
        <v>1541</v>
      </c>
    </row>
    <row r="22" spans="1:35" ht="24" x14ac:dyDescent="0.25">
      <c r="A22" s="343" t="s">
        <v>1815</v>
      </c>
      <c r="B22" s="479"/>
      <c r="C22" s="479"/>
      <c r="D22" s="463"/>
      <c r="E22" s="383" t="s">
        <v>1817</v>
      </c>
      <c r="F22" s="321">
        <v>8</v>
      </c>
      <c r="G22" s="322">
        <v>2000</v>
      </c>
      <c r="H22" s="322">
        <f t="shared" ref="H22:H26" si="17">F22*G22</f>
        <v>16000</v>
      </c>
      <c r="I22" s="322">
        <f>H22*1.22</f>
        <v>19520</v>
      </c>
      <c r="J22" s="346"/>
      <c r="K22" s="347"/>
      <c r="L22" s="347"/>
      <c r="M22" s="347"/>
      <c r="N22" s="346"/>
      <c r="O22" s="386"/>
      <c r="P22" s="386"/>
      <c r="Q22" s="386"/>
      <c r="R22" s="469"/>
      <c r="S22" s="386"/>
      <c r="T22" s="50" t="e">
        <f t="shared" si="6"/>
        <v>#DIV/0!</v>
      </c>
      <c r="U22" s="469"/>
      <c r="V22" s="465"/>
      <c r="W22" s="465"/>
      <c r="X22" s="473"/>
      <c r="Y22" s="475"/>
      <c r="Z22" s="477"/>
      <c r="AA22" s="477"/>
      <c r="AB22" s="475"/>
      <c r="AC22" s="471"/>
      <c r="AD22" s="471"/>
      <c r="AE22" s="467"/>
      <c r="AF22" s="297"/>
      <c r="AG22" s="463"/>
      <c r="AH22" s="473"/>
      <c r="AI22" s="292" t="s">
        <v>1895</v>
      </c>
    </row>
    <row r="23" spans="1:35" ht="24" x14ac:dyDescent="0.25">
      <c r="A23" s="346">
        <v>16</v>
      </c>
      <c r="B23" s="385" t="s">
        <v>8</v>
      </c>
      <c r="C23" s="258" t="s">
        <v>9</v>
      </c>
      <c r="D23" s="285" t="s">
        <v>1664</v>
      </c>
      <c r="E23" s="383" t="s">
        <v>1774</v>
      </c>
      <c r="F23" s="382">
        <v>1</v>
      </c>
      <c r="G23" s="322">
        <v>47000</v>
      </c>
      <c r="H23" s="322">
        <f t="shared" si="17"/>
        <v>47000</v>
      </c>
      <c r="I23" s="322">
        <f>H23*1.22</f>
        <v>57340</v>
      </c>
      <c r="J23" s="346"/>
      <c r="K23" s="286"/>
      <c r="L23" s="286"/>
      <c r="M23" s="286"/>
      <c r="N23" s="346"/>
      <c r="O23" s="347"/>
      <c r="P23" s="347"/>
      <c r="Q23" s="347"/>
      <c r="R23" s="294"/>
      <c r="S23" s="386"/>
      <c r="T23" s="50" t="e">
        <f t="shared" si="6"/>
        <v>#DIV/0!</v>
      </c>
      <c r="U23" s="297"/>
      <c r="V23" s="297"/>
      <c r="W23" s="297"/>
      <c r="X23" s="297"/>
      <c r="Y23" s="297"/>
      <c r="Z23" s="297"/>
      <c r="AA23" s="297"/>
      <c r="AB23" s="297"/>
      <c r="AC23" s="297"/>
      <c r="AD23" s="297"/>
      <c r="AE23" s="297"/>
      <c r="AF23" s="297"/>
      <c r="AG23" s="297"/>
      <c r="AH23" s="297"/>
      <c r="AI23" s="292" t="s">
        <v>1895</v>
      </c>
    </row>
    <row r="24" spans="1:35" ht="48" x14ac:dyDescent="0.25">
      <c r="A24" s="343" t="s">
        <v>1839</v>
      </c>
      <c r="B24" s="385" t="s">
        <v>8</v>
      </c>
      <c r="C24" s="258" t="s">
        <v>9</v>
      </c>
      <c r="D24" s="285" t="s">
        <v>1664</v>
      </c>
      <c r="E24" s="258" t="s">
        <v>1848</v>
      </c>
      <c r="F24" s="346">
        <v>18</v>
      </c>
      <c r="G24" s="347">
        <v>1131.81</v>
      </c>
      <c r="H24" s="347">
        <f t="shared" si="17"/>
        <v>20372.579999999998</v>
      </c>
      <c r="I24" s="347">
        <v>20372.579999999998</v>
      </c>
      <c r="J24" s="346">
        <v>18</v>
      </c>
      <c r="K24" s="286">
        <f>1250*J24</f>
        <v>22500</v>
      </c>
      <c r="L24" s="286">
        <f>K24</f>
        <v>22500</v>
      </c>
      <c r="M24" s="286">
        <f t="shared" si="8"/>
        <v>27450</v>
      </c>
      <c r="N24" s="346">
        <v>18</v>
      </c>
      <c r="O24" s="347">
        <v>1131.81</v>
      </c>
      <c r="P24" s="347">
        <f t="shared" ref="P24:P26" si="18">N24*O24</f>
        <v>20372.579999999998</v>
      </c>
      <c r="Q24" s="347">
        <v>20372.579999999998</v>
      </c>
      <c r="R24" s="294">
        <v>2020</v>
      </c>
      <c r="S24" s="386">
        <f t="shared" si="5"/>
        <v>0</v>
      </c>
      <c r="T24" s="50">
        <f t="shared" si="6"/>
        <v>0.25782950819672135</v>
      </c>
      <c r="U24" s="294">
        <v>2020</v>
      </c>
      <c r="V24" s="353">
        <v>44154</v>
      </c>
      <c r="W24" s="353">
        <v>44161</v>
      </c>
      <c r="X24" s="353">
        <v>44161</v>
      </c>
      <c r="Y24" s="299" t="s">
        <v>1698</v>
      </c>
      <c r="Z24" s="319" t="s">
        <v>1699</v>
      </c>
      <c r="AA24" s="319" t="s">
        <v>1696</v>
      </c>
      <c r="AB24" s="299" t="s">
        <v>1681</v>
      </c>
      <c r="AC24" s="301" t="s">
        <v>1700</v>
      </c>
      <c r="AD24" s="292">
        <v>44209</v>
      </c>
      <c r="AE24" s="292" t="s">
        <v>1701</v>
      </c>
      <c r="AF24" s="298" t="s">
        <v>1694</v>
      </c>
      <c r="AG24" s="292" t="s">
        <v>1702</v>
      </c>
      <c r="AH24" s="156" t="s">
        <v>8</v>
      </c>
      <c r="AI24" s="292" t="s">
        <v>1541</v>
      </c>
    </row>
    <row r="25" spans="1:35" ht="37.35" customHeight="1" x14ac:dyDescent="0.25">
      <c r="A25" s="343" t="s">
        <v>1841</v>
      </c>
      <c r="B25" s="483" t="s">
        <v>8</v>
      </c>
      <c r="C25" s="483" t="s">
        <v>9</v>
      </c>
      <c r="D25" s="484" t="s">
        <v>1664</v>
      </c>
      <c r="E25" s="258" t="s">
        <v>1849</v>
      </c>
      <c r="F25" s="346">
        <v>18</v>
      </c>
      <c r="G25" s="347">
        <v>400</v>
      </c>
      <c r="H25" s="347">
        <f t="shared" si="17"/>
        <v>7200</v>
      </c>
      <c r="I25" s="347">
        <f t="shared" ref="I25:I26" si="19">H25*1.22</f>
        <v>8784</v>
      </c>
      <c r="J25" s="258" t="s">
        <v>1674</v>
      </c>
      <c r="K25" s="286">
        <v>405</v>
      </c>
      <c r="L25" s="286">
        <f>K25*18</f>
        <v>7290</v>
      </c>
      <c r="M25" s="286">
        <f t="shared" si="8"/>
        <v>8893.7999999999993</v>
      </c>
      <c r="N25" s="346">
        <v>18</v>
      </c>
      <c r="O25" s="347">
        <v>400</v>
      </c>
      <c r="P25" s="347">
        <f t="shared" si="18"/>
        <v>7200</v>
      </c>
      <c r="Q25" s="347">
        <f>P25*1.22</f>
        <v>8784</v>
      </c>
      <c r="R25" s="468">
        <v>2020</v>
      </c>
      <c r="S25" s="386">
        <f t="shared" si="5"/>
        <v>0</v>
      </c>
      <c r="T25" s="50">
        <f t="shared" si="6"/>
        <v>1.2345679012345623E-2</v>
      </c>
      <c r="U25" s="468">
        <v>2020</v>
      </c>
      <c r="V25" s="464">
        <v>44154</v>
      </c>
      <c r="W25" s="464">
        <v>44161</v>
      </c>
      <c r="X25" s="464">
        <v>44161</v>
      </c>
      <c r="Y25" s="460" t="s">
        <v>1704</v>
      </c>
      <c r="Z25" s="462" t="s">
        <v>1705</v>
      </c>
      <c r="AA25" s="462" t="s">
        <v>1703</v>
      </c>
      <c r="AB25" s="460" t="s">
        <v>1681</v>
      </c>
      <c r="AC25" s="464">
        <v>44204</v>
      </c>
      <c r="AD25" s="464">
        <v>44204</v>
      </c>
      <c r="AE25" s="464" t="s">
        <v>1706</v>
      </c>
      <c r="AF25" s="466" t="s">
        <v>1694</v>
      </c>
      <c r="AG25" s="464" t="s">
        <v>1707</v>
      </c>
      <c r="AH25" s="472" t="s">
        <v>8</v>
      </c>
      <c r="AI25" s="464" t="s">
        <v>1541</v>
      </c>
    </row>
    <row r="26" spans="1:35" ht="36.75" customHeight="1" x14ac:dyDescent="0.25">
      <c r="A26" s="343" t="s">
        <v>1840</v>
      </c>
      <c r="B26" s="483"/>
      <c r="C26" s="483"/>
      <c r="D26" s="484"/>
      <c r="E26" s="258" t="s">
        <v>1850</v>
      </c>
      <c r="F26" s="346">
        <v>2</v>
      </c>
      <c r="G26" s="347">
        <v>180</v>
      </c>
      <c r="H26" s="347">
        <f t="shared" si="17"/>
        <v>360</v>
      </c>
      <c r="I26" s="347">
        <f t="shared" si="19"/>
        <v>439.2</v>
      </c>
      <c r="J26" s="258" t="s">
        <v>1675</v>
      </c>
      <c r="K26" s="286">
        <v>182</v>
      </c>
      <c r="L26" s="286">
        <f>K26*4</f>
        <v>728</v>
      </c>
      <c r="M26" s="286">
        <f t="shared" si="8"/>
        <v>888.16</v>
      </c>
      <c r="N26" s="346">
        <v>2</v>
      </c>
      <c r="O26" s="347">
        <v>180</v>
      </c>
      <c r="P26" s="347">
        <f t="shared" si="18"/>
        <v>360</v>
      </c>
      <c r="Q26" s="347">
        <f>P26*1.22</f>
        <v>439.2</v>
      </c>
      <c r="R26" s="469"/>
      <c r="S26" s="386">
        <f t="shared" si="5"/>
        <v>0</v>
      </c>
      <c r="T26" s="50">
        <f t="shared" si="6"/>
        <v>0.50549450549450547</v>
      </c>
      <c r="U26" s="469"/>
      <c r="V26" s="465"/>
      <c r="W26" s="465"/>
      <c r="X26" s="465"/>
      <c r="Y26" s="461"/>
      <c r="Z26" s="463"/>
      <c r="AA26" s="463"/>
      <c r="AB26" s="461"/>
      <c r="AC26" s="463"/>
      <c r="AD26" s="463"/>
      <c r="AE26" s="463"/>
      <c r="AF26" s="467"/>
      <c r="AG26" s="465"/>
      <c r="AH26" s="473"/>
      <c r="AI26" s="465"/>
    </row>
    <row r="27" spans="1:35" ht="36.75" customHeight="1" x14ac:dyDescent="0.25">
      <c r="A27" s="343" t="s">
        <v>1842</v>
      </c>
      <c r="B27" s="385" t="s">
        <v>8</v>
      </c>
      <c r="C27" s="258" t="s">
        <v>9</v>
      </c>
      <c r="D27" s="285" t="s">
        <v>1664</v>
      </c>
      <c r="E27" s="383" t="s">
        <v>1845</v>
      </c>
      <c r="F27" s="382">
        <v>11</v>
      </c>
      <c r="G27" s="322">
        <v>1201.7255</v>
      </c>
      <c r="H27" s="322">
        <f>F27*G27</f>
        <v>13218.9805</v>
      </c>
      <c r="I27" s="322">
        <f>H27*1.22</f>
        <v>16127.156209999999</v>
      </c>
      <c r="J27" s="258"/>
      <c r="K27" s="286"/>
      <c r="L27" s="286"/>
      <c r="M27" s="286"/>
      <c r="N27" s="346"/>
      <c r="O27" s="347"/>
      <c r="P27" s="347"/>
      <c r="Q27" s="347"/>
      <c r="R27" s="341"/>
      <c r="S27" s="386"/>
      <c r="T27" s="50" t="e">
        <f t="shared" si="6"/>
        <v>#DIV/0!</v>
      </c>
      <c r="U27" s="341"/>
      <c r="V27" s="340"/>
      <c r="W27" s="340"/>
      <c r="X27" s="340"/>
      <c r="Y27" s="336"/>
      <c r="Z27" s="337"/>
      <c r="AA27" s="337"/>
      <c r="AB27" s="336"/>
      <c r="AC27" s="337"/>
      <c r="AD27" s="337"/>
      <c r="AE27" s="337"/>
      <c r="AF27" s="339"/>
      <c r="AG27" s="338"/>
      <c r="AH27" s="342"/>
      <c r="AI27" s="292" t="s">
        <v>1895</v>
      </c>
    </row>
    <row r="28" spans="1:35" ht="36.75" customHeight="1" x14ac:dyDescent="0.25">
      <c r="A28" s="343" t="s">
        <v>1843</v>
      </c>
      <c r="B28" s="385" t="s">
        <v>8</v>
      </c>
      <c r="C28" s="258" t="s">
        <v>9</v>
      </c>
      <c r="D28" s="285" t="s">
        <v>1664</v>
      </c>
      <c r="E28" s="383" t="s">
        <v>1846</v>
      </c>
      <c r="F28" s="382">
        <v>4</v>
      </c>
      <c r="G28" s="322">
        <v>200</v>
      </c>
      <c r="H28" s="322">
        <f t="shared" ref="H28:H30" si="20">F28*G28</f>
        <v>800</v>
      </c>
      <c r="I28" s="322">
        <f t="shared" ref="I28:I30" si="21">H28*1.22</f>
        <v>976</v>
      </c>
      <c r="J28" s="258"/>
      <c r="K28" s="286"/>
      <c r="L28" s="286"/>
      <c r="M28" s="286"/>
      <c r="N28" s="346"/>
      <c r="O28" s="347"/>
      <c r="P28" s="347"/>
      <c r="Q28" s="347"/>
      <c r="R28" s="341"/>
      <c r="S28" s="386"/>
      <c r="T28" s="50" t="e">
        <f t="shared" si="6"/>
        <v>#DIV/0!</v>
      </c>
      <c r="U28" s="341"/>
      <c r="V28" s="340"/>
      <c r="W28" s="340"/>
      <c r="X28" s="340"/>
      <c r="Y28" s="336"/>
      <c r="Z28" s="337"/>
      <c r="AA28" s="337"/>
      <c r="AB28" s="336"/>
      <c r="AC28" s="337"/>
      <c r="AD28" s="337"/>
      <c r="AE28" s="337"/>
      <c r="AF28" s="339"/>
      <c r="AG28" s="338"/>
      <c r="AH28" s="342"/>
      <c r="AI28" s="292" t="s">
        <v>1895</v>
      </c>
    </row>
    <row r="29" spans="1:35" ht="36.75" customHeight="1" x14ac:dyDescent="0.25">
      <c r="A29" s="343" t="s">
        <v>1844</v>
      </c>
      <c r="B29" s="385" t="s">
        <v>8</v>
      </c>
      <c r="C29" s="258" t="s">
        <v>9</v>
      </c>
      <c r="D29" s="285" t="s">
        <v>1664</v>
      </c>
      <c r="E29" s="383" t="s">
        <v>1847</v>
      </c>
      <c r="F29" s="382">
        <v>2</v>
      </c>
      <c r="G29" s="322">
        <v>750</v>
      </c>
      <c r="H29" s="322">
        <f t="shared" si="20"/>
        <v>1500</v>
      </c>
      <c r="I29" s="322">
        <f t="shared" si="21"/>
        <v>1830</v>
      </c>
      <c r="J29" s="258"/>
      <c r="K29" s="286"/>
      <c r="L29" s="286"/>
      <c r="M29" s="286"/>
      <c r="N29" s="346"/>
      <c r="O29" s="347"/>
      <c r="P29" s="347"/>
      <c r="Q29" s="347"/>
      <c r="R29" s="341"/>
      <c r="S29" s="386"/>
      <c r="T29" s="50" t="e">
        <f t="shared" si="6"/>
        <v>#DIV/0!</v>
      </c>
      <c r="U29" s="341"/>
      <c r="V29" s="340"/>
      <c r="W29" s="340"/>
      <c r="X29" s="340"/>
      <c r="Y29" s="336"/>
      <c r="Z29" s="337"/>
      <c r="AA29" s="337"/>
      <c r="AB29" s="336"/>
      <c r="AC29" s="337"/>
      <c r="AD29" s="337"/>
      <c r="AE29" s="337"/>
      <c r="AF29" s="339"/>
      <c r="AG29" s="338"/>
      <c r="AH29" s="342"/>
      <c r="AI29" s="292" t="s">
        <v>1895</v>
      </c>
    </row>
    <row r="30" spans="1:35" ht="409.5" x14ac:dyDescent="0.25">
      <c r="A30" s="316" t="s">
        <v>1851</v>
      </c>
      <c r="B30" s="317" t="s">
        <v>8</v>
      </c>
      <c r="C30" s="258" t="s">
        <v>9</v>
      </c>
      <c r="D30" s="285" t="s">
        <v>1664</v>
      </c>
      <c r="E30" s="258" t="s">
        <v>1667</v>
      </c>
      <c r="F30" s="346">
        <v>1</v>
      </c>
      <c r="G30" s="386">
        <v>25000</v>
      </c>
      <c r="H30" s="386">
        <f t="shared" si="20"/>
        <v>25000</v>
      </c>
      <c r="I30" s="386">
        <f t="shared" si="21"/>
        <v>30500</v>
      </c>
      <c r="J30" s="346">
        <v>1</v>
      </c>
      <c r="K30" s="345">
        <v>25000</v>
      </c>
      <c r="L30" s="345">
        <f t="shared" ref="L30" si="22">J30*K30</f>
        <v>25000</v>
      </c>
      <c r="M30" s="345">
        <f t="shared" ref="M30" si="23">L30*1.22</f>
        <v>30500</v>
      </c>
      <c r="N30" s="346">
        <v>1</v>
      </c>
      <c r="O30" s="347">
        <v>25000</v>
      </c>
      <c r="P30" s="347">
        <f>O30</f>
        <v>25000</v>
      </c>
      <c r="Q30" s="347">
        <f>P30*1.22</f>
        <v>30500</v>
      </c>
      <c r="R30" s="357">
        <v>2020</v>
      </c>
      <c r="S30" s="386">
        <f t="shared" si="5"/>
        <v>0</v>
      </c>
      <c r="T30" s="50">
        <f t="shared" si="6"/>
        <v>0</v>
      </c>
      <c r="U30" s="357">
        <v>2020</v>
      </c>
      <c r="V30" s="292">
        <v>44154</v>
      </c>
      <c r="W30" s="292">
        <v>44161</v>
      </c>
      <c r="X30" s="292"/>
      <c r="Y30" s="287" t="s">
        <v>1852</v>
      </c>
      <c r="Z30" s="421" t="s">
        <v>2058</v>
      </c>
      <c r="AA30" s="287">
        <v>8515622195</v>
      </c>
      <c r="AB30" s="358" t="s">
        <v>1681</v>
      </c>
      <c r="AC30" s="356">
        <v>44155</v>
      </c>
      <c r="AD30" s="356">
        <v>44175</v>
      </c>
      <c r="AE30" s="285" t="s">
        <v>2086</v>
      </c>
      <c r="AF30" s="287" t="s">
        <v>1854</v>
      </c>
      <c r="AG30" s="421" t="s">
        <v>2065</v>
      </c>
      <c r="AH30" s="359" t="s">
        <v>8</v>
      </c>
      <c r="AI30" s="287" t="s">
        <v>1902</v>
      </c>
    </row>
    <row r="31" spans="1:35" ht="36" x14ac:dyDescent="0.25">
      <c r="A31" s="346">
        <v>23</v>
      </c>
      <c r="B31" s="344" t="s">
        <v>8</v>
      </c>
      <c r="C31" s="258" t="s">
        <v>9</v>
      </c>
      <c r="D31" s="285" t="s">
        <v>1664</v>
      </c>
      <c r="E31" s="383" t="s">
        <v>1782</v>
      </c>
      <c r="F31" s="382">
        <v>11</v>
      </c>
      <c r="G31" s="322">
        <v>23076</v>
      </c>
      <c r="H31" s="322">
        <f t="shared" ref="H31" si="24">F31*G31</f>
        <v>253836</v>
      </c>
      <c r="I31" s="322">
        <f t="shared" ref="I31" si="25">H31*1.22</f>
        <v>309679.92</v>
      </c>
      <c r="J31" s="297"/>
      <c r="K31" s="289"/>
      <c r="L31" s="297"/>
      <c r="M31" s="297"/>
      <c r="N31" s="297"/>
      <c r="O31" s="297"/>
      <c r="P31" s="297"/>
      <c r="Q31" s="297"/>
      <c r="R31" s="300"/>
      <c r="S31" s="386"/>
      <c r="T31" s="50" t="e">
        <f t="shared" si="6"/>
        <v>#DIV/0!</v>
      </c>
      <c r="U31" s="297"/>
      <c r="V31" s="297"/>
      <c r="W31" s="297"/>
      <c r="X31" s="297"/>
      <c r="Y31" s="297"/>
      <c r="Z31" s="297"/>
      <c r="AA31" s="297"/>
      <c r="AB31" s="297"/>
      <c r="AC31" s="297"/>
      <c r="AD31" s="297"/>
      <c r="AE31" s="297"/>
      <c r="AF31" s="297"/>
      <c r="AG31" s="297"/>
      <c r="AH31" s="359" t="s">
        <v>8</v>
      </c>
      <c r="AI31" s="292" t="s">
        <v>1901</v>
      </c>
    </row>
    <row r="32" spans="1:35" ht="72" x14ac:dyDescent="0.25">
      <c r="A32" s="346">
        <v>24</v>
      </c>
      <c r="B32" s="344" t="s">
        <v>8</v>
      </c>
      <c r="C32" s="258" t="s">
        <v>9</v>
      </c>
      <c r="D32" s="285" t="s">
        <v>1664</v>
      </c>
      <c r="E32" s="383" t="s">
        <v>1776</v>
      </c>
      <c r="F32" s="382">
        <v>2</v>
      </c>
      <c r="G32" s="322">
        <v>19000</v>
      </c>
      <c r="H32" s="322">
        <f>F32*G32</f>
        <v>38000</v>
      </c>
      <c r="I32" s="322">
        <f>H32*1.22</f>
        <v>46360</v>
      </c>
      <c r="J32" s="297"/>
      <c r="K32" s="289"/>
      <c r="L32" s="297"/>
      <c r="M32" s="297"/>
      <c r="N32" s="297"/>
      <c r="O32" s="297"/>
      <c r="P32" s="297"/>
      <c r="Q32" s="297"/>
      <c r="R32" s="300"/>
      <c r="S32" s="386"/>
      <c r="T32" s="50" t="e">
        <f t="shared" si="6"/>
        <v>#DIV/0!</v>
      </c>
      <c r="U32" s="297"/>
      <c r="V32" s="297"/>
      <c r="W32" s="297"/>
      <c r="X32" s="297"/>
      <c r="Y32" s="297"/>
      <c r="Z32" s="297"/>
      <c r="AA32" s="297"/>
      <c r="AB32" s="297"/>
      <c r="AC32" s="297"/>
      <c r="AD32" s="297"/>
      <c r="AE32" s="297"/>
      <c r="AF32" s="297"/>
      <c r="AG32" s="297"/>
      <c r="AH32" s="297"/>
      <c r="AI32" s="292" t="s">
        <v>1895</v>
      </c>
    </row>
    <row r="33" spans="1:35" ht="24" x14ac:dyDescent="0.25">
      <c r="A33" s="346">
        <v>25</v>
      </c>
      <c r="B33" s="344" t="s">
        <v>8</v>
      </c>
      <c r="C33" s="258" t="s">
        <v>9</v>
      </c>
      <c r="D33" s="285" t="s">
        <v>1664</v>
      </c>
      <c r="E33" s="383" t="s">
        <v>1855</v>
      </c>
      <c r="F33" s="382">
        <v>3</v>
      </c>
      <c r="G33" s="322">
        <v>2917.674</v>
      </c>
      <c r="H33" s="322">
        <f t="shared" ref="H33" si="26">F33*G33</f>
        <v>8753.0220000000008</v>
      </c>
      <c r="I33" s="322">
        <f>H33*1.22</f>
        <v>10678.68684</v>
      </c>
      <c r="J33" s="297"/>
      <c r="K33" s="297"/>
      <c r="L33" s="297"/>
      <c r="M33" s="297"/>
      <c r="N33" s="297"/>
      <c r="O33" s="297"/>
      <c r="P33" s="297"/>
      <c r="Q33" s="297"/>
      <c r="R33" s="300"/>
      <c r="S33" s="386"/>
      <c r="T33" s="50" t="e">
        <f t="shared" si="6"/>
        <v>#DIV/0!</v>
      </c>
      <c r="U33" s="297"/>
      <c r="V33" s="297"/>
      <c r="W33" s="297"/>
      <c r="X33" s="297"/>
      <c r="Y33" s="297"/>
      <c r="Z33" s="297"/>
      <c r="AA33" s="297"/>
      <c r="AB33" s="297"/>
      <c r="AC33" s="297"/>
      <c r="AD33" s="297"/>
      <c r="AE33" s="297"/>
      <c r="AF33" s="297"/>
      <c r="AG33" s="297"/>
      <c r="AH33" s="297"/>
      <c r="AI33" s="292" t="s">
        <v>1895</v>
      </c>
    </row>
    <row r="35" spans="1:35" x14ac:dyDescent="0.25">
      <c r="A35" s="480" t="s">
        <v>59</v>
      </c>
      <c r="B35" s="481"/>
      <c r="C35" s="481"/>
      <c r="D35" s="481"/>
      <c r="E35" s="481"/>
      <c r="F35" s="481"/>
      <c r="G35" s="482"/>
      <c r="H35" s="380">
        <f>SUM(H2:H34)</f>
        <v>1320877.5484999998</v>
      </c>
      <c r="I35" s="380">
        <f>SUM(I2:I34)</f>
        <v>1486035.2043699999</v>
      </c>
      <c r="J35" s="480" t="s">
        <v>59</v>
      </c>
      <c r="K35" s="481"/>
      <c r="L35" s="481"/>
      <c r="M35" s="481"/>
      <c r="N35" s="481"/>
      <c r="O35" s="482"/>
      <c r="P35" s="380">
        <f>SUM(P2:P33)</f>
        <v>881769.54599999986</v>
      </c>
      <c r="Q35" s="380">
        <f>SUM(Q2:Q33)</f>
        <v>950323.44131999987</v>
      </c>
      <c r="S35" s="380">
        <f>SUM(S2:S33)</f>
        <v>0</v>
      </c>
    </row>
    <row r="39" spans="1:35" x14ac:dyDescent="0.25">
      <c r="Q39" s="303"/>
    </row>
  </sheetData>
  <autoFilter ref="A1:AI33"/>
  <mergeCells count="90">
    <mergeCell ref="A35:G35"/>
    <mergeCell ref="J35:O35"/>
    <mergeCell ref="B25:B26"/>
    <mergeCell ref="C25:C26"/>
    <mergeCell ref="R25:R26"/>
    <mergeCell ref="D25:D26"/>
    <mergeCell ref="AI25:AI26"/>
    <mergeCell ref="AD25:AD26"/>
    <mergeCell ref="AE25:AE26"/>
    <mergeCell ref="AA25:AA26"/>
    <mergeCell ref="AB25:AB26"/>
    <mergeCell ref="AC25:AC26"/>
    <mergeCell ref="V25:V26"/>
    <mergeCell ref="W25:W26"/>
    <mergeCell ref="U25:U26"/>
    <mergeCell ref="AH25:AH26"/>
    <mergeCell ref="W15:W16"/>
    <mergeCell ref="W21:W22"/>
    <mergeCell ref="V15:V16"/>
    <mergeCell ref="V21:V22"/>
    <mergeCell ref="AG15:AG16"/>
    <mergeCell ref="AD21:AD22"/>
    <mergeCell ref="AE15:AE16"/>
    <mergeCell ref="AE21:AE22"/>
    <mergeCell ref="AH21:AH22"/>
    <mergeCell ref="AC15:AC16"/>
    <mergeCell ref="AC21:AC22"/>
    <mergeCell ref="AG21:AG22"/>
    <mergeCell ref="D21:D22"/>
    <mergeCell ref="B17:B18"/>
    <mergeCell ref="C17:C18"/>
    <mergeCell ref="U15:U16"/>
    <mergeCell ref="U21:U22"/>
    <mergeCell ref="R21:R22"/>
    <mergeCell ref="B15:B16"/>
    <mergeCell ref="D19:D20"/>
    <mergeCell ref="B19:B20"/>
    <mergeCell ref="C19:C20"/>
    <mergeCell ref="R15:R16"/>
    <mergeCell ref="C15:C16"/>
    <mergeCell ref="D15:D16"/>
    <mergeCell ref="B21:B22"/>
    <mergeCell ref="C21:C22"/>
    <mergeCell ref="AI15:AI16"/>
    <mergeCell ref="D17:D18"/>
    <mergeCell ref="AC17:AC18"/>
    <mergeCell ref="AD17:AD18"/>
    <mergeCell ref="AE17:AE18"/>
    <mergeCell ref="AG17:AG18"/>
    <mergeCell ref="AH17:AH18"/>
    <mergeCell ref="AI17:AI18"/>
    <mergeCell ref="W17:W18"/>
    <mergeCell ref="U17:U18"/>
    <mergeCell ref="V17:V18"/>
    <mergeCell ref="R17:R18"/>
    <mergeCell ref="AD15:AD16"/>
    <mergeCell ref="AB15:AB16"/>
    <mergeCell ref="AB17:AB18"/>
    <mergeCell ref="AH15:AH16"/>
    <mergeCell ref="AB21:AB22"/>
    <mergeCell ref="Y15:Y16"/>
    <mergeCell ref="X15:X16"/>
    <mergeCell ref="X21:X22"/>
    <mergeCell ref="Y21:Y22"/>
    <mergeCell ref="Z15:Z16"/>
    <mergeCell ref="Z21:Z22"/>
    <mergeCell ref="AB19:AB20"/>
    <mergeCell ref="AA15:AA16"/>
    <mergeCell ref="AA21:AA22"/>
    <mergeCell ref="AA19:AA20"/>
    <mergeCell ref="AA17:AA18"/>
    <mergeCell ref="Y17:Y18"/>
    <mergeCell ref="X17:X18"/>
    <mergeCell ref="AI19:AI20"/>
    <mergeCell ref="V19:V20"/>
    <mergeCell ref="W19:W20"/>
    <mergeCell ref="R19:R20"/>
    <mergeCell ref="AC19:AC20"/>
    <mergeCell ref="AD19:AD20"/>
    <mergeCell ref="AE19:AE20"/>
    <mergeCell ref="AG19:AG20"/>
    <mergeCell ref="AH19:AH20"/>
    <mergeCell ref="U19:U20"/>
    <mergeCell ref="Y19:Y20"/>
    <mergeCell ref="X19:X20"/>
    <mergeCell ref="Y25:Y26"/>
    <mergeCell ref="Z25:Z26"/>
    <mergeCell ref="AG25:AG26"/>
    <mergeCell ref="AF25:AF26"/>
    <mergeCell ref="X25:X2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6"/>
  <sheetViews>
    <sheetView topLeftCell="H1" workbookViewId="0">
      <pane ySplit="1" topLeftCell="A2" activePane="bottomLeft" state="frozen"/>
      <selection pane="bottomLeft" activeCell="AE9" sqref="AE9"/>
    </sheetView>
  </sheetViews>
  <sheetFormatPr defaultColWidth="9" defaultRowHeight="15" x14ac:dyDescent="0.25"/>
  <cols>
    <col min="1" max="1" width="6.85546875" style="261" customWidth="1"/>
    <col min="2" max="2" width="6.140625" style="255" customWidth="1"/>
    <col min="3" max="4" width="9" style="255"/>
    <col min="5" max="5" width="13.7109375" style="255" customWidth="1"/>
    <col min="6" max="6" width="9" style="255"/>
    <col min="7" max="7" width="13.28515625" style="255" customWidth="1"/>
    <col min="8" max="10" width="9" style="255"/>
    <col min="11" max="11" width="13.5703125" style="255" customWidth="1"/>
    <col min="12" max="13" width="11.5703125" style="255" bestFit="1" customWidth="1"/>
    <col min="14" max="14" width="9" style="255"/>
    <col min="15" max="15" width="15.5703125" style="255" customWidth="1"/>
    <col min="16" max="16" width="13.28515625" style="255" bestFit="1" customWidth="1"/>
    <col min="17" max="17" width="9" style="255"/>
    <col min="18" max="18" width="9" style="303"/>
    <col min="19" max="19" width="11.42578125" style="255" bestFit="1" customWidth="1"/>
    <col min="20" max="22" width="9" style="255"/>
    <col min="23" max="23" width="10.5703125" style="255" bestFit="1" customWidth="1"/>
    <col min="24" max="24" width="9.7109375" style="255" bestFit="1" customWidth="1"/>
    <col min="25" max="25" width="9" style="255"/>
    <col min="26" max="26" width="19.140625" style="255" bestFit="1" customWidth="1"/>
    <col min="27" max="27" width="9" style="255"/>
    <col min="28" max="28" width="16" style="255" bestFit="1" customWidth="1"/>
    <col min="29" max="30" width="9" style="255"/>
    <col min="31" max="31" width="9.42578125" style="255" bestFit="1" customWidth="1"/>
    <col min="32" max="34" width="9" style="255"/>
    <col min="35" max="35" width="13.28515625" style="255" customWidth="1"/>
    <col min="36" max="16384" width="9" style="374"/>
  </cols>
  <sheetData>
    <row r="1" spans="1:35" s="372" customFormat="1" ht="37.9" customHeight="1" x14ac:dyDescent="0.25">
      <c r="A1" s="360" t="s">
        <v>0</v>
      </c>
      <c r="B1" s="361" t="s">
        <v>1</v>
      </c>
      <c r="C1" s="361" t="s">
        <v>2</v>
      </c>
      <c r="D1" s="361" t="s">
        <v>3</v>
      </c>
      <c r="E1" s="361" t="s">
        <v>4</v>
      </c>
      <c r="F1" s="361" t="s">
        <v>5</v>
      </c>
      <c r="G1" s="361" t="s">
        <v>186</v>
      </c>
      <c r="H1" s="361" t="s">
        <v>92</v>
      </c>
      <c r="I1" s="361" t="s">
        <v>61</v>
      </c>
      <c r="J1" s="361" t="s">
        <v>5</v>
      </c>
      <c r="K1" s="362" t="s">
        <v>105</v>
      </c>
      <c r="L1" s="361" t="s">
        <v>92</v>
      </c>
      <c r="M1" s="361" t="s">
        <v>61</v>
      </c>
      <c r="N1" s="361" t="s">
        <v>5</v>
      </c>
      <c r="O1" s="361" t="s">
        <v>67</v>
      </c>
      <c r="P1" s="361" t="s">
        <v>6</v>
      </c>
      <c r="Q1" s="361" t="s">
        <v>7</v>
      </c>
      <c r="R1" s="363" t="s">
        <v>313</v>
      </c>
      <c r="S1" s="361" t="s">
        <v>93</v>
      </c>
      <c r="T1" s="361" t="s">
        <v>267</v>
      </c>
      <c r="U1" s="361" t="s">
        <v>106</v>
      </c>
      <c r="V1" s="361" t="s">
        <v>107</v>
      </c>
      <c r="W1" s="361" t="s">
        <v>108</v>
      </c>
      <c r="X1" s="361" t="s">
        <v>109</v>
      </c>
      <c r="Y1" s="361" t="s">
        <v>110</v>
      </c>
      <c r="Z1" s="361" t="s">
        <v>111</v>
      </c>
      <c r="AA1" s="361" t="s">
        <v>112</v>
      </c>
      <c r="AB1" s="361" t="s">
        <v>113</v>
      </c>
      <c r="AC1" s="361" t="s">
        <v>114</v>
      </c>
      <c r="AD1" s="361" t="s">
        <v>115</v>
      </c>
      <c r="AE1" s="361" t="s">
        <v>116</v>
      </c>
      <c r="AF1" s="361" t="s">
        <v>117</v>
      </c>
      <c r="AG1" s="361" t="s">
        <v>118</v>
      </c>
      <c r="AH1" s="364" t="s">
        <v>1544</v>
      </c>
      <c r="AI1" s="64" t="s">
        <v>1540</v>
      </c>
    </row>
    <row r="2" spans="1:35" s="373" customFormat="1" ht="48" x14ac:dyDescent="0.25">
      <c r="A2" s="368">
        <v>1</v>
      </c>
      <c r="B2" s="344" t="s">
        <v>8</v>
      </c>
      <c r="C2" s="258" t="s">
        <v>9</v>
      </c>
      <c r="D2" s="285" t="s">
        <v>1868</v>
      </c>
      <c r="E2" s="369" t="s">
        <v>1736</v>
      </c>
      <c r="F2" s="346">
        <v>14</v>
      </c>
      <c r="G2" s="324">
        <v>14776.32</v>
      </c>
      <c r="H2" s="324">
        <f t="shared" ref="H2:H4" si="0">F2*G2</f>
        <v>206868.47999999998</v>
      </c>
      <c r="I2" s="324">
        <f>H2*1.22</f>
        <v>252379.54559999998</v>
      </c>
      <c r="J2" s="346">
        <v>14</v>
      </c>
      <c r="K2" s="345">
        <v>14800</v>
      </c>
      <c r="L2" s="345">
        <f t="shared" ref="L2" si="1">J2*K2</f>
        <v>207200</v>
      </c>
      <c r="M2" s="345">
        <f t="shared" ref="M2" si="2">L2*1.22</f>
        <v>252784</v>
      </c>
      <c r="N2" s="346">
        <v>14</v>
      </c>
      <c r="O2" s="324">
        <v>14776.32</v>
      </c>
      <c r="P2" s="324">
        <f t="shared" ref="P2" si="3">N2*O2</f>
        <v>206868.47999999998</v>
      </c>
      <c r="Q2" s="324">
        <f>P2*1.22</f>
        <v>252379.54559999998</v>
      </c>
      <c r="R2" s="13">
        <v>2021</v>
      </c>
      <c r="S2" s="386">
        <f>I2-Q2</f>
        <v>0</v>
      </c>
      <c r="T2" s="50">
        <f t="shared" ref="T2" si="4">1-Q2/M2</f>
        <v>1.6000000000000458E-3</v>
      </c>
      <c r="U2" s="156">
        <v>44165</v>
      </c>
      <c r="V2" s="292">
        <v>44176</v>
      </c>
      <c r="W2" s="292">
        <v>44278</v>
      </c>
      <c r="X2" s="292">
        <v>44285</v>
      </c>
      <c r="Y2" s="156" t="s">
        <v>1738</v>
      </c>
      <c r="Z2" s="156" t="s">
        <v>1739</v>
      </c>
      <c r="AA2" s="156" t="s">
        <v>1740</v>
      </c>
      <c r="AB2" s="296" t="s">
        <v>1744</v>
      </c>
      <c r="AC2" s="285" t="s">
        <v>1741</v>
      </c>
      <c r="AD2" s="285" t="s">
        <v>1741</v>
      </c>
      <c r="AE2" s="156" t="s">
        <v>1742</v>
      </c>
      <c r="AF2" s="156" t="s">
        <v>1641</v>
      </c>
      <c r="AG2" s="156" t="s">
        <v>1743</v>
      </c>
      <c r="AH2" s="156" t="s">
        <v>8</v>
      </c>
      <c r="AI2" s="292" t="s">
        <v>1541</v>
      </c>
    </row>
    <row r="3" spans="1:35" s="373" customFormat="1" ht="48" x14ac:dyDescent="0.25">
      <c r="A3" s="368">
        <v>3</v>
      </c>
      <c r="B3" s="344" t="s">
        <v>8</v>
      </c>
      <c r="C3" s="258" t="s">
        <v>9</v>
      </c>
      <c r="D3" s="285" t="s">
        <v>1868</v>
      </c>
      <c r="E3" s="371" t="s">
        <v>1856</v>
      </c>
      <c r="F3" s="368">
        <v>6</v>
      </c>
      <c r="G3" s="370">
        <v>9950</v>
      </c>
      <c r="H3" s="324">
        <f t="shared" si="0"/>
        <v>59700</v>
      </c>
      <c r="I3" s="324">
        <f>H3</f>
        <v>59700</v>
      </c>
      <c r="J3" s="258"/>
      <c r="K3" s="286"/>
      <c r="L3" s="286"/>
      <c r="M3" s="286"/>
      <c r="N3" s="368">
        <v>6</v>
      </c>
      <c r="O3" s="370">
        <v>9950</v>
      </c>
      <c r="P3" s="324">
        <f t="shared" ref="P3" si="5">N3*O3</f>
        <v>59700</v>
      </c>
      <c r="Q3" s="324">
        <f>P3</f>
        <v>59700</v>
      </c>
      <c r="R3" s="357"/>
      <c r="S3" s="386">
        <f t="shared" ref="S3:S12" si="6">I3-Q3</f>
        <v>0</v>
      </c>
      <c r="T3" s="50" t="e">
        <f t="shared" ref="T3:T12" si="7">1-Q3/M3</f>
        <v>#DIV/0!</v>
      </c>
      <c r="U3" s="357"/>
      <c r="V3" s="354"/>
      <c r="W3" s="354"/>
      <c r="X3" s="354"/>
      <c r="Y3" s="365"/>
      <c r="Z3" s="366"/>
      <c r="AA3" s="285"/>
      <c r="AB3" s="365"/>
      <c r="AC3" s="366"/>
      <c r="AD3" s="366"/>
      <c r="AE3" s="366"/>
      <c r="AF3" s="367"/>
      <c r="AG3" s="301"/>
      <c r="AH3" s="354"/>
      <c r="AI3" s="349" t="s">
        <v>1869</v>
      </c>
    </row>
    <row r="4" spans="1:35" s="373" customFormat="1" ht="36" x14ac:dyDescent="0.25">
      <c r="A4" s="368" t="s">
        <v>1857</v>
      </c>
      <c r="B4" s="344" t="s">
        <v>8</v>
      </c>
      <c r="C4" s="258" t="s">
        <v>9</v>
      </c>
      <c r="D4" s="285" t="s">
        <v>1868</v>
      </c>
      <c r="E4" s="383" t="s">
        <v>1858</v>
      </c>
      <c r="F4" s="321">
        <v>3</v>
      </c>
      <c r="G4" s="322">
        <v>3985.8</v>
      </c>
      <c r="H4" s="387">
        <f t="shared" si="0"/>
        <v>11957.400000000001</v>
      </c>
      <c r="I4" s="387">
        <f>H4*1.05</f>
        <v>12555.270000000002</v>
      </c>
      <c r="J4" s="346">
        <v>3</v>
      </c>
      <c r="K4" s="386">
        <v>3985.8</v>
      </c>
      <c r="L4" s="324">
        <f t="shared" ref="L4" si="8">J4*K4</f>
        <v>11957.400000000001</v>
      </c>
      <c r="M4" s="324">
        <f>L4*1.05</f>
        <v>12555.270000000002</v>
      </c>
      <c r="N4" s="368">
        <v>3</v>
      </c>
      <c r="O4" s="370">
        <f>P4/N4</f>
        <v>3946</v>
      </c>
      <c r="P4" s="324">
        <v>11838</v>
      </c>
      <c r="Q4" s="324">
        <f>P4*1.05</f>
        <v>12429.9</v>
      </c>
      <c r="R4" s="294">
        <v>2023</v>
      </c>
      <c r="S4" s="386"/>
      <c r="T4" s="50"/>
      <c r="U4" s="156">
        <v>44924</v>
      </c>
      <c r="V4" s="292">
        <v>44929</v>
      </c>
      <c r="W4" s="156">
        <v>44930</v>
      </c>
      <c r="X4" s="156">
        <v>44935</v>
      </c>
      <c r="Y4" s="299"/>
      <c r="Z4" s="346"/>
      <c r="AA4" s="346" t="s">
        <v>2030</v>
      </c>
      <c r="AB4" s="299" t="s">
        <v>2055</v>
      </c>
      <c r="AC4" s="292"/>
      <c r="AD4" s="292"/>
      <c r="AE4" s="346"/>
      <c r="AF4" s="346"/>
      <c r="AG4" s="346"/>
      <c r="AH4" s="156" t="s">
        <v>8</v>
      </c>
      <c r="AI4" s="292" t="s">
        <v>1895</v>
      </c>
    </row>
    <row r="5" spans="1:35" s="373" customFormat="1" ht="60" x14ac:dyDescent="0.25">
      <c r="A5" s="368" t="s">
        <v>1859</v>
      </c>
      <c r="B5" s="344" t="s">
        <v>8</v>
      </c>
      <c r="C5" s="258" t="s">
        <v>9</v>
      </c>
      <c r="D5" s="285" t="s">
        <v>1868</v>
      </c>
      <c r="E5" s="369" t="s">
        <v>1669</v>
      </c>
      <c r="F5" s="346">
        <v>12</v>
      </c>
      <c r="G5" s="324">
        <v>6602.28</v>
      </c>
      <c r="H5" s="324">
        <f>F5*G5</f>
        <v>79227.360000000001</v>
      </c>
      <c r="I5" s="324">
        <f>H5*1.05</f>
        <v>83188.728000000003</v>
      </c>
      <c r="J5" s="346">
        <v>12</v>
      </c>
      <c r="K5" s="345">
        <v>6840</v>
      </c>
      <c r="L5" s="345">
        <f t="shared" ref="L5:L18" si="9">J5*K5</f>
        <v>82080</v>
      </c>
      <c r="M5" s="345">
        <f>L5</f>
        <v>82080</v>
      </c>
      <c r="N5" s="346">
        <v>12</v>
      </c>
      <c r="O5" s="324">
        <v>6602.28</v>
      </c>
      <c r="P5" s="324">
        <f>N5*O5</f>
        <v>79227.360000000001</v>
      </c>
      <c r="Q5" s="324">
        <f>P5*1.05</f>
        <v>83188.728000000003</v>
      </c>
      <c r="R5" s="468">
        <v>2020</v>
      </c>
      <c r="S5" s="386">
        <f t="shared" si="6"/>
        <v>0</v>
      </c>
      <c r="T5" s="50">
        <f t="shared" si="7"/>
        <v>-1.3507894736842108E-2</v>
      </c>
      <c r="U5" s="468">
        <v>2020</v>
      </c>
      <c r="V5" s="464">
        <v>44154</v>
      </c>
      <c r="W5" s="472">
        <v>44161</v>
      </c>
      <c r="X5" s="472">
        <v>44172</v>
      </c>
      <c r="Y5" s="460" t="s">
        <v>1681</v>
      </c>
      <c r="Z5" s="462" t="s">
        <v>1876</v>
      </c>
      <c r="AA5" s="462">
        <v>8515412448</v>
      </c>
      <c r="AB5" s="460" t="s">
        <v>1681</v>
      </c>
      <c r="AC5" s="462" t="s">
        <v>1877</v>
      </c>
      <c r="AD5" s="464">
        <v>44309</v>
      </c>
      <c r="AE5" s="462" t="s">
        <v>1878</v>
      </c>
      <c r="AF5" s="462" t="s">
        <v>1694</v>
      </c>
      <c r="AG5" s="462" t="s">
        <v>1879</v>
      </c>
      <c r="AH5" s="472" t="s">
        <v>8</v>
      </c>
      <c r="AI5" s="464" t="s">
        <v>1541</v>
      </c>
    </row>
    <row r="6" spans="1:35" s="373" customFormat="1" ht="72" x14ac:dyDescent="0.25">
      <c r="A6" s="368" t="s">
        <v>1860</v>
      </c>
      <c r="B6" s="344" t="s">
        <v>8</v>
      </c>
      <c r="C6" s="258" t="s">
        <v>9</v>
      </c>
      <c r="D6" s="285" t="s">
        <v>1868</v>
      </c>
      <c r="E6" s="369" t="s">
        <v>1875</v>
      </c>
      <c r="F6" s="346">
        <v>14</v>
      </c>
      <c r="G6" s="324">
        <v>2030</v>
      </c>
      <c r="H6" s="324">
        <f>G6*F6</f>
        <v>28420</v>
      </c>
      <c r="I6" s="324">
        <f>H6*1.05</f>
        <v>29841</v>
      </c>
      <c r="J6" s="346">
        <v>14</v>
      </c>
      <c r="K6" s="345">
        <v>2033</v>
      </c>
      <c r="L6" s="345">
        <f t="shared" si="9"/>
        <v>28462</v>
      </c>
      <c r="M6" s="345">
        <f>L6</f>
        <v>28462</v>
      </c>
      <c r="N6" s="346">
        <v>14</v>
      </c>
      <c r="O6" s="324">
        <v>2030</v>
      </c>
      <c r="P6" s="324">
        <f>O6*N6</f>
        <v>28420</v>
      </c>
      <c r="Q6" s="324">
        <f>P6*1.05</f>
        <v>29841</v>
      </c>
      <c r="R6" s="469"/>
      <c r="S6" s="386">
        <f t="shared" si="6"/>
        <v>0</v>
      </c>
      <c r="T6" s="50">
        <f t="shared" si="7"/>
        <v>-4.8450565666502632E-2</v>
      </c>
      <c r="U6" s="469"/>
      <c r="V6" s="465"/>
      <c r="W6" s="473"/>
      <c r="X6" s="473"/>
      <c r="Y6" s="461"/>
      <c r="Z6" s="463"/>
      <c r="AA6" s="463"/>
      <c r="AB6" s="461"/>
      <c r="AC6" s="463"/>
      <c r="AD6" s="465"/>
      <c r="AE6" s="463"/>
      <c r="AF6" s="463"/>
      <c r="AG6" s="463"/>
      <c r="AH6" s="473"/>
      <c r="AI6" s="465"/>
    </row>
    <row r="7" spans="1:35" s="373" customFormat="1" ht="48" x14ac:dyDescent="0.25">
      <c r="A7" s="368">
        <v>5</v>
      </c>
      <c r="B7" s="344" t="s">
        <v>8</v>
      </c>
      <c r="C7" s="258" t="s">
        <v>9</v>
      </c>
      <c r="D7" s="285" t="s">
        <v>1868</v>
      </c>
      <c r="E7" s="369" t="s">
        <v>217</v>
      </c>
      <c r="F7" s="346">
        <v>2</v>
      </c>
      <c r="G7" s="386">
        <v>13619.5</v>
      </c>
      <c r="H7" s="375">
        <f>F7*G7</f>
        <v>27239</v>
      </c>
      <c r="I7" s="375">
        <f>H7*1.05</f>
        <v>28600.95</v>
      </c>
      <c r="J7" s="346">
        <v>2</v>
      </c>
      <c r="K7" s="345">
        <v>13810</v>
      </c>
      <c r="L7" s="345">
        <f t="shared" si="9"/>
        <v>27620</v>
      </c>
      <c r="M7" s="345">
        <f>L7</f>
        <v>27620</v>
      </c>
      <c r="N7" s="346">
        <v>2</v>
      </c>
      <c r="O7" s="345">
        <v>13619.5</v>
      </c>
      <c r="P7" s="375">
        <f>N7*O7</f>
        <v>27239</v>
      </c>
      <c r="Q7" s="375">
        <f>P7*1.05</f>
        <v>28600.95</v>
      </c>
      <c r="R7" s="294">
        <v>2020</v>
      </c>
      <c r="S7" s="386">
        <f t="shared" si="6"/>
        <v>0</v>
      </c>
      <c r="T7" s="50">
        <f t="shared" si="7"/>
        <v>-3.5515930485155778E-2</v>
      </c>
      <c r="U7" s="294">
        <v>2020</v>
      </c>
      <c r="V7" s="292"/>
      <c r="W7" s="156">
        <v>44161</v>
      </c>
      <c r="X7" s="292">
        <v>44172</v>
      </c>
      <c r="Y7" s="376" t="s">
        <v>1681</v>
      </c>
      <c r="Z7" s="314" t="s">
        <v>1881</v>
      </c>
      <c r="AA7" s="346" t="s">
        <v>1880</v>
      </c>
      <c r="AB7" s="376" t="s">
        <v>1681</v>
      </c>
      <c r="AC7" s="350">
        <v>44235</v>
      </c>
      <c r="AD7" s="298" t="s">
        <v>1882</v>
      </c>
      <c r="AE7" s="377" t="s">
        <v>1883</v>
      </c>
      <c r="AF7" s="354"/>
      <c r="AG7" s="346" t="s">
        <v>1884</v>
      </c>
      <c r="AH7" s="156" t="s">
        <v>8</v>
      </c>
      <c r="AI7" s="292" t="s">
        <v>1541</v>
      </c>
    </row>
    <row r="8" spans="1:35" s="373" customFormat="1" ht="48" x14ac:dyDescent="0.25">
      <c r="A8" s="368">
        <v>6</v>
      </c>
      <c r="B8" s="344" t="s">
        <v>8</v>
      </c>
      <c r="C8" s="258" t="s">
        <v>9</v>
      </c>
      <c r="D8" s="285" t="s">
        <v>1868</v>
      </c>
      <c r="E8" s="369" t="s">
        <v>42</v>
      </c>
      <c r="F8" s="346">
        <v>1</v>
      </c>
      <c r="G8" s="324">
        <v>24679</v>
      </c>
      <c r="H8" s="324">
        <f>F8*G8</f>
        <v>24679</v>
      </c>
      <c r="I8" s="324">
        <f>H8*1.22</f>
        <v>30108.38</v>
      </c>
      <c r="J8" s="346">
        <v>1</v>
      </c>
      <c r="K8" s="345">
        <v>45000</v>
      </c>
      <c r="L8" s="345">
        <f t="shared" si="9"/>
        <v>45000</v>
      </c>
      <c r="M8" s="345">
        <f>L8*1.22</f>
        <v>54900</v>
      </c>
      <c r="N8" s="346">
        <v>1</v>
      </c>
      <c r="O8" s="324">
        <v>24679</v>
      </c>
      <c r="P8" s="324">
        <f>N8*O8</f>
        <v>24679</v>
      </c>
      <c r="Q8" s="324">
        <f>P8*1.22</f>
        <v>30108.38</v>
      </c>
      <c r="R8" s="294">
        <v>2021</v>
      </c>
      <c r="S8" s="386">
        <f t="shared" si="6"/>
        <v>0</v>
      </c>
      <c r="T8" s="50">
        <f t="shared" si="7"/>
        <v>0.45157777777777774</v>
      </c>
      <c r="U8" s="294">
        <v>2020</v>
      </c>
      <c r="V8" s="292">
        <v>44174</v>
      </c>
      <c r="W8" s="292">
        <v>44208</v>
      </c>
      <c r="X8" s="292">
        <v>44238</v>
      </c>
      <c r="Y8" s="323" t="s">
        <v>1759</v>
      </c>
      <c r="Z8" s="346" t="s">
        <v>1768</v>
      </c>
      <c r="AA8" s="288" t="s">
        <v>1762</v>
      </c>
      <c r="AB8" s="323" t="s">
        <v>1759</v>
      </c>
      <c r="AC8" s="298">
        <v>44350</v>
      </c>
      <c r="AD8" s="298">
        <v>44372</v>
      </c>
      <c r="AE8" s="287" t="s">
        <v>1760</v>
      </c>
      <c r="AF8" s="297"/>
      <c r="AG8" s="292" t="s">
        <v>1761</v>
      </c>
      <c r="AH8" s="156" t="s">
        <v>8</v>
      </c>
      <c r="AI8" s="292" t="s">
        <v>1541</v>
      </c>
    </row>
    <row r="9" spans="1:35" s="373" customFormat="1" ht="96" x14ac:dyDescent="0.25">
      <c r="A9" s="368">
        <v>7</v>
      </c>
      <c r="B9" s="344" t="s">
        <v>8</v>
      </c>
      <c r="C9" s="258" t="s">
        <v>9</v>
      </c>
      <c r="D9" s="285" t="s">
        <v>1868</v>
      </c>
      <c r="E9" s="383" t="s">
        <v>65</v>
      </c>
      <c r="F9" s="321">
        <v>3</v>
      </c>
      <c r="G9" s="381">
        <v>1480</v>
      </c>
      <c r="H9" s="381">
        <f t="shared" ref="H9" si="10">F9*G9</f>
        <v>4440</v>
      </c>
      <c r="I9" s="381">
        <f>H9*1.05</f>
        <v>4662</v>
      </c>
      <c r="J9" s="346">
        <v>3</v>
      </c>
      <c r="K9" s="345">
        <f>3325 + 3000</f>
        <v>6325</v>
      </c>
      <c r="L9" s="345">
        <f t="shared" si="9"/>
        <v>18975</v>
      </c>
      <c r="M9" s="345">
        <f>L9</f>
        <v>18975</v>
      </c>
      <c r="N9" s="346">
        <v>3</v>
      </c>
      <c r="O9" s="347">
        <f>P9/N9</f>
        <v>1452</v>
      </c>
      <c r="P9" s="347">
        <f>1480+2876</f>
        <v>4356</v>
      </c>
      <c r="Q9" s="347">
        <f>1480*1.05 + 2800*1.05+76*1.22</f>
        <v>4586.72</v>
      </c>
      <c r="R9" s="294" t="s">
        <v>2029</v>
      </c>
      <c r="S9" s="386">
        <f t="shared" ref="S9" si="11">I9-Q9</f>
        <v>75.279999999999745</v>
      </c>
      <c r="T9" s="50">
        <f t="shared" ref="T9" si="12">1-Q9/M9</f>
        <v>0.75827562582345187</v>
      </c>
      <c r="U9" s="294" t="s">
        <v>2033</v>
      </c>
      <c r="V9" s="292" t="s">
        <v>2034</v>
      </c>
      <c r="W9" s="292" t="s">
        <v>2035</v>
      </c>
      <c r="X9" s="292" t="s">
        <v>2036</v>
      </c>
      <c r="Y9" s="323" t="s">
        <v>1764</v>
      </c>
      <c r="Z9" s="346" t="s">
        <v>2069</v>
      </c>
      <c r="AA9" s="346" t="s">
        <v>2092</v>
      </c>
      <c r="AB9" s="299" t="s">
        <v>2032</v>
      </c>
      <c r="AC9" s="292" t="s">
        <v>2082</v>
      </c>
      <c r="AD9" s="346" t="s">
        <v>2083</v>
      </c>
      <c r="AE9" s="346" t="s">
        <v>2087</v>
      </c>
      <c r="AF9" s="297"/>
      <c r="AG9" s="346" t="s">
        <v>1769</v>
      </c>
      <c r="AH9" s="156" t="s">
        <v>8</v>
      </c>
      <c r="AI9" s="292" t="s">
        <v>1895</v>
      </c>
    </row>
    <row r="10" spans="1:35" s="373" customFormat="1" ht="48" x14ac:dyDescent="0.25">
      <c r="A10" s="368">
        <v>8</v>
      </c>
      <c r="B10" s="344" t="s">
        <v>8</v>
      </c>
      <c r="C10" s="258" t="s">
        <v>9</v>
      </c>
      <c r="D10" s="285" t="s">
        <v>1868</v>
      </c>
      <c r="E10" s="369" t="s">
        <v>1666</v>
      </c>
      <c r="F10" s="346">
        <v>1</v>
      </c>
      <c r="G10" s="386">
        <v>4772.57</v>
      </c>
      <c r="H10" s="296">
        <f>F10*G10</f>
        <v>4772.57</v>
      </c>
      <c r="I10" s="296">
        <f>H10*1.22</f>
        <v>5822.5353999999998</v>
      </c>
      <c r="J10" s="346">
        <v>1</v>
      </c>
      <c r="K10" s="345">
        <v>4772.57</v>
      </c>
      <c r="L10" s="345">
        <f t="shared" si="9"/>
        <v>4772.57</v>
      </c>
      <c r="M10" s="345">
        <f t="shared" ref="M10" si="13">L10*1.22</f>
        <v>5822.5353999999998</v>
      </c>
      <c r="N10" s="346">
        <v>1</v>
      </c>
      <c r="O10" s="345">
        <v>4772.57</v>
      </c>
      <c r="P10" s="296">
        <f>N10*O10</f>
        <v>4772.57</v>
      </c>
      <c r="Q10" s="296">
        <f>P10*1.22</f>
        <v>5822.5353999999998</v>
      </c>
      <c r="R10" s="294">
        <v>2020</v>
      </c>
      <c r="S10" s="386">
        <f t="shared" si="6"/>
        <v>0</v>
      </c>
      <c r="T10" s="50">
        <f t="shared" si="7"/>
        <v>0</v>
      </c>
      <c r="U10" s="294">
        <v>2020</v>
      </c>
      <c r="V10" s="292">
        <v>44155</v>
      </c>
      <c r="W10" s="292">
        <v>44167</v>
      </c>
      <c r="X10" s="156">
        <v>44172</v>
      </c>
      <c r="Y10" s="323" t="s">
        <v>1681</v>
      </c>
      <c r="Z10" s="288" t="s">
        <v>1771</v>
      </c>
      <c r="AA10" s="288" t="s">
        <v>1770</v>
      </c>
      <c r="AB10" s="323" t="s">
        <v>1681</v>
      </c>
      <c r="AC10" s="298">
        <v>44412</v>
      </c>
      <c r="AD10" s="298">
        <v>44446</v>
      </c>
      <c r="AE10" s="298" t="s">
        <v>1772</v>
      </c>
      <c r="AF10" s="297"/>
      <c r="AG10" s="346" t="s">
        <v>1773</v>
      </c>
      <c r="AH10" s="156" t="s">
        <v>8</v>
      </c>
      <c r="AI10" s="292" t="s">
        <v>1541</v>
      </c>
    </row>
    <row r="11" spans="1:35" s="373" customFormat="1" ht="36" x14ac:dyDescent="0.25">
      <c r="A11" s="368">
        <v>9</v>
      </c>
      <c r="B11" s="344" t="s">
        <v>8</v>
      </c>
      <c r="C11" s="258" t="s">
        <v>9</v>
      </c>
      <c r="D11" s="285" t="s">
        <v>1868</v>
      </c>
      <c r="E11" s="369" t="s">
        <v>1670</v>
      </c>
      <c r="F11" s="346">
        <v>5</v>
      </c>
      <c r="G11" s="347">
        <v>927</v>
      </c>
      <c r="H11" s="347">
        <f t="shared" ref="H11:H12" si="14">F11*G11</f>
        <v>4635</v>
      </c>
      <c r="I11" s="347">
        <f>H11</f>
        <v>4635</v>
      </c>
      <c r="J11" s="346">
        <v>5</v>
      </c>
      <c r="K11" s="345">
        <v>946</v>
      </c>
      <c r="L11" s="345">
        <f t="shared" si="9"/>
        <v>4730</v>
      </c>
      <c r="M11" s="345">
        <f t="shared" ref="M11:M16" si="15">L11</f>
        <v>4730</v>
      </c>
      <c r="N11" s="346">
        <v>5</v>
      </c>
      <c r="O11" s="347">
        <v>927</v>
      </c>
      <c r="P11" s="347">
        <f t="shared" ref="P11:P12" si="16">N11*O11</f>
        <v>4635</v>
      </c>
      <c r="Q11" s="347">
        <f>P11</f>
        <v>4635</v>
      </c>
      <c r="R11" s="468">
        <v>2020</v>
      </c>
      <c r="S11" s="386">
        <f t="shared" si="6"/>
        <v>0</v>
      </c>
      <c r="T11" s="50">
        <f t="shared" si="7"/>
        <v>2.0084566596194509E-2</v>
      </c>
      <c r="U11" s="472">
        <v>44172</v>
      </c>
      <c r="V11" s="474" t="s">
        <v>1681</v>
      </c>
      <c r="W11" s="476" t="s">
        <v>1818</v>
      </c>
      <c r="X11" s="476" t="s">
        <v>1820</v>
      </c>
      <c r="Y11" s="474" t="s">
        <v>1681</v>
      </c>
      <c r="Z11" s="470">
        <v>44174</v>
      </c>
      <c r="AA11" s="470">
        <v>44180</v>
      </c>
      <c r="AB11" s="466" t="s">
        <v>1821</v>
      </c>
      <c r="AC11" s="297"/>
      <c r="AD11" s="462" t="s">
        <v>1822</v>
      </c>
      <c r="AE11" s="472" t="s">
        <v>8</v>
      </c>
      <c r="AF11" s="464" t="s">
        <v>1541</v>
      </c>
      <c r="AG11" s="354"/>
      <c r="AH11" s="156" t="s">
        <v>8</v>
      </c>
      <c r="AI11" s="292" t="s">
        <v>1541</v>
      </c>
    </row>
    <row r="12" spans="1:35" s="373" customFormat="1" ht="48" x14ac:dyDescent="0.25">
      <c r="A12" s="368" t="s">
        <v>1861</v>
      </c>
      <c r="B12" s="344" t="s">
        <v>8</v>
      </c>
      <c r="C12" s="258" t="s">
        <v>9</v>
      </c>
      <c r="D12" s="285" t="s">
        <v>1868</v>
      </c>
      <c r="E12" s="369" t="s">
        <v>1812</v>
      </c>
      <c r="F12" s="346">
        <v>1</v>
      </c>
      <c r="G12" s="347">
        <f>1280*0.176+1667*0.252+100*5.8</f>
        <v>1225.364</v>
      </c>
      <c r="H12" s="347">
        <f t="shared" si="14"/>
        <v>1225.364</v>
      </c>
      <c r="I12" s="324">
        <f>(1280*0.176+1667*0.252)*1.22+(100*5.8)</f>
        <v>1367.3440800000001</v>
      </c>
      <c r="J12" s="346">
        <v>1</v>
      </c>
      <c r="K12" s="345">
        <f>595*0.17+978*0.27+200*3.55</f>
        <v>1075.21</v>
      </c>
      <c r="L12" s="345">
        <f t="shared" si="9"/>
        <v>1075.21</v>
      </c>
      <c r="M12" s="345">
        <f t="shared" si="15"/>
        <v>1075.21</v>
      </c>
      <c r="N12" s="346">
        <v>1</v>
      </c>
      <c r="O12" s="347">
        <f>1280*0.176+1667*0.252+100*5.8</f>
        <v>1225.364</v>
      </c>
      <c r="P12" s="347">
        <f t="shared" si="16"/>
        <v>1225.364</v>
      </c>
      <c r="Q12" s="324">
        <f>(1280*0.176+1667*0.252)*1.22+(100*5.8)</f>
        <v>1367.3440800000001</v>
      </c>
      <c r="R12" s="469"/>
      <c r="S12" s="386">
        <f t="shared" si="6"/>
        <v>0</v>
      </c>
      <c r="T12" s="50">
        <f t="shared" si="7"/>
        <v>-0.27169955636573317</v>
      </c>
      <c r="U12" s="473"/>
      <c r="V12" s="475"/>
      <c r="W12" s="477"/>
      <c r="X12" s="477"/>
      <c r="Y12" s="475"/>
      <c r="Z12" s="471"/>
      <c r="AA12" s="471"/>
      <c r="AB12" s="467"/>
      <c r="AC12" s="297"/>
      <c r="AD12" s="463"/>
      <c r="AE12" s="473"/>
      <c r="AF12" s="465"/>
      <c r="AG12" s="354"/>
      <c r="AH12" s="156" t="s">
        <v>8</v>
      </c>
      <c r="AI12" s="292" t="s">
        <v>1541</v>
      </c>
    </row>
    <row r="13" spans="1:35" s="373" customFormat="1" ht="48.75" x14ac:dyDescent="0.25">
      <c r="A13" s="368">
        <v>10</v>
      </c>
      <c r="B13" s="344" t="s">
        <v>8</v>
      </c>
      <c r="C13" s="258" t="s">
        <v>9</v>
      </c>
      <c r="D13" s="285" t="s">
        <v>1868</v>
      </c>
      <c r="E13" s="369" t="s">
        <v>1671</v>
      </c>
      <c r="F13" s="346">
        <v>22</v>
      </c>
      <c r="G13" s="347">
        <v>1050</v>
      </c>
      <c r="H13" s="347">
        <f>F13*G13</f>
        <v>23100</v>
      </c>
      <c r="I13" s="347">
        <f>H13</f>
        <v>23100</v>
      </c>
      <c r="J13" s="346">
        <v>22</v>
      </c>
      <c r="K13" s="345">
        <v>1048</v>
      </c>
      <c r="L13" s="345">
        <f t="shared" si="9"/>
        <v>23056</v>
      </c>
      <c r="M13" s="345">
        <f t="shared" si="15"/>
        <v>23056</v>
      </c>
      <c r="N13" s="346">
        <v>22</v>
      </c>
      <c r="O13" s="347">
        <v>1050</v>
      </c>
      <c r="P13" s="347">
        <f>N13*O13</f>
        <v>23100</v>
      </c>
      <c r="Q13" s="347">
        <f>P13</f>
        <v>23100</v>
      </c>
      <c r="R13" s="468">
        <v>2020</v>
      </c>
      <c r="S13" s="386">
        <f t="shared" ref="S13:S21" si="17">I13-Q13</f>
        <v>0</v>
      </c>
      <c r="T13" s="50">
        <f t="shared" ref="T13:T21" si="18">1-Q13/M13</f>
        <v>-1.9083969465649719E-3</v>
      </c>
      <c r="U13" s="472">
        <v>44172</v>
      </c>
      <c r="V13" s="474" t="s">
        <v>1681</v>
      </c>
      <c r="W13" s="351" t="s">
        <v>1827</v>
      </c>
      <c r="X13" s="476" t="s">
        <v>1826</v>
      </c>
      <c r="Y13" s="474" t="s">
        <v>1681</v>
      </c>
      <c r="Z13" s="470">
        <v>44176</v>
      </c>
      <c r="AA13" s="470">
        <v>44252</v>
      </c>
      <c r="AB13" s="466" t="s">
        <v>1829</v>
      </c>
      <c r="AC13" s="297"/>
      <c r="AD13" s="462" t="s">
        <v>1830</v>
      </c>
      <c r="AE13" s="472" t="s">
        <v>8</v>
      </c>
      <c r="AF13" s="464" t="s">
        <v>1541</v>
      </c>
      <c r="AG13" s="354"/>
      <c r="AH13" s="156" t="s">
        <v>8</v>
      </c>
      <c r="AI13" s="292" t="s">
        <v>1541</v>
      </c>
    </row>
    <row r="14" spans="1:35" s="373" customFormat="1" ht="48.75" x14ac:dyDescent="0.25">
      <c r="A14" s="368" t="s">
        <v>1862</v>
      </c>
      <c r="B14" s="344" t="s">
        <v>8</v>
      </c>
      <c r="C14" s="258" t="s">
        <v>9</v>
      </c>
      <c r="D14" s="285" t="s">
        <v>1868</v>
      </c>
      <c r="E14" s="369" t="s">
        <v>1823</v>
      </c>
      <c r="F14" s="346">
        <v>1</v>
      </c>
      <c r="G14" s="324">
        <f>1872*2.5</f>
        <v>4680</v>
      </c>
      <c r="H14" s="347">
        <f>F14*G14</f>
        <v>4680</v>
      </c>
      <c r="I14" s="347">
        <f>H14*1.05</f>
        <v>4914</v>
      </c>
      <c r="J14" s="346">
        <v>1</v>
      </c>
      <c r="K14" s="345">
        <f>1872*3.78</f>
        <v>7076.16</v>
      </c>
      <c r="L14" s="345">
        <f t="shared" si="9"/>
        <v>7076.16</v>
      </c>
      <c r="M14" s="345">
        <f t="shared" si="15"/>
        <v>7076.16</v>
      </c>
      <c r="N14" s="346">
        <v>1</v>
      </c>
      <c r="O14" s="324">
        <f>1872*2.5</f>
        <v>4680</v>
      </c>
      <c r="P14" s="347">
        <f>N14*O14</f>
        <v>4680</v>
      </c>
      <c r="Q14" s="347">
        <f>P14*1.05</f>
        <v>4914</v>
      </c>
      <c r="R14" s="469"/>
      <c r="S14" s="386">
        <f t="shared" si="17"/>
        <v>0</v>
      </c>
      <c r="T14" s="50">
        <f t="shared" si="18"/>
        <v>0.30555555555555558</v>
      </c>
      <c r="U14" s="473"/>
      <c r="V14" s="475"/>
      <c r="W14" s="351" t="s">
        <v>1828</v>
      </c>
      <c r="X14" s="477"/>
      <c r="Y14" s="475"/>
      <c r="Z14" s="471"/>
      <c r="AA14" s="471"/>
      <c r="AB14" s="467"/>
      <c r="AC14" s="297"/>
      <c r="AD14" s="463"/>
      <c r="AE14" s="473"/>
      <c r="AF14" s="465"/>
      <c r="AG14" s="354"/>
      <c r="AH14" s="156" t="s">
        <v>8</v>
      </c>
      <c r="AI14" s="292" t="s">
        <v>1541</v>
      </c>
    </row>
    <row r="15" spans="1:35" ht="48.75" x14ac:dyDescent="0.25">
      <c r="A15" s="368">
        <v>11</v>
      </c>
      <c r="B15" s="344" t="s">
        <v>8</v>
      </c>
      <c r="C15" s="258" t="s">
        <v>9</v>
      </c>
      <c r="D15" s="285" t="s">
        <v>1868</v>
      </c>
      <c r="E15" s="258" t="s">
        <v>939</v>
      </c>
      <c r="F15" s="346">
        <v>12</v>
      </c>
      <c r="G15" s="347">
        <v>369</v>
      </c>
      <c r="H15" s="347">
        <f>F15*G15</f>
        <v>4428</v>
      </c>
      <c r="I15" s="347">
        <f>H15</f>
        <v>4428</v>
      </c>
      <c r="J15" s="346">
        <v>12</v>
      </c>
      <c r="K15" s="345">
        <v>369</v>
      </c>
      <c r="L15" s="345">
        <f t="shared" si="9"/>
        <v>4428</v>
      </c>
      <c r="M15" s="345">
        <f t="shared" si="15"/>
        <v>4428</v>
      </c>
      <c r="N15" s="346">
        <v>12</v>
      </c>
      <c r="O15" s="347">
        <v>369</v>
      </c>
      <c r="P15" s="347">
        <f>N15*O15</f>
        <v>4428</v>
      </c>
      <c r="Q15" s="347">
        <f>P15</f>
        <v>4428</v>
      </c>
      <c r="R15" s="468">
        <v>2020</v>
      </c>
      <c r="S15" s="386">
        <f t="shared" si="17"/>
        <v>0</v>
      </c>
      <c r="T15" s="50">
        <f t="shared" si="18"/>
        <v>0</v>
      </c>
      <c r="U15" s="472">
        <v>44172</v>
      </c>
      <c r="V15" s="474" t="s">
        <v>1681</v>
      </c>
      <c r="W15" s="351" t="s">
        <v>1835</v>
      </c>
      <c r="X15" s="476" t="s">
        <v>1834</v>
      </c>
      <c r="Y15" s="474" t="s">
        <v>1681</v>
      </c>
      <c r="Z15" s="470">
        <v>44180</v>
      </c>
      <c r="AA15" s="470">
        <v>44264</v>
      </c>
      <c r="AB15" s="466" t="s">
        <v>1837</v>
      </c>
      <c r="AC15" s="297"/>
      <c r="AD15" s="462" t="s">
        <v>1838</v>
      </c>
      <c r="AE15" s="472" t="s">
        <v>8</v>
      </c>
      <c r="AF15" s="464" t="s">
        <v>1541</v>
      </c>
      <c r="AG15" s="297"/>
      <c r="AH15" s="156" t="s">
        <v>8</v>
      </c>
      <c r="AI15" s="292" t="s">
        <v>1541</v>
      </c>
    </row>
    <row r="16" spans="1:35" ht="48.75" x14ac:dyDescent="0.25">
      <c r="A16" s="368" t="s">
        <v>1863</v>
      </c>
      <c r="B16" s="344" t="s">
        <v>8</v>
      </c>
      <c r="C16" s="258" t="s">
        <v>9</v>
      </c>
      <c r="D16" s="285" t="s">
        <v>1868</v>
      </c>
      <c r="E16" s="258" t="s">
        <v>1833</v>
      </c>
      <c r="F16" s="346">
        <v>1</v>
      </c>
      <c r="G16" s="347">
        <v>3041.8</v>
      </c>
      <c r="H16" s="347">
        <f>F16*G16</f>
        <v>3041.8</v>
      </c>
      <c r="I16" s="347">
        <f>H16</f>
        <v>3041.8</v>
      </c>
      <c r="J16" s="346">
        <v>1</v>
      </c>
      <c r="K16" s="345">
        <f>908*2+454*2.7</f>
        <v>3041.8</v>
      </c>
      <c r="L16" s="345">
        <f t="shared" si="9"/>
        <v>3041.8</v>
      </c>
      <c r="M16" s="345">
        <f t="shared" si="15"/>
        <v>3041.8</v>
      </c>
      <c r="N16" s="346">
        <v>1</v>
      </c>
      <c r="O16" s="347">
        <v>3041.8</v>
      </c>
      <c r="P16" s="347">
        <f>N16*O16</f>
        <v>3041.8</v>
      </c>
      <c r="Q16" s="347">
        <f>P16</f>
        <v>3041.8</v>
      </c>
      <c r="R16" s="469"/>
      <c r="S16" s="386">
        <f t="shared" si="17"/>
        <v>0</v>
      </c>
      <c r="T16" s="50">
        <f t="shared" si="18"/>
        <v>0</v>
      </c>
      <c r="U16" s="473"/>
      <c r="V16" s="475"/>
      <c r="W16" s="351" t="s">
        <v>1836</v>
      </c>
      <c r="X16" s="477"/>
      <c r="Y16" s="475"/>
      <c r="Z16" s="471"/>
      <c r="AA16" s="471"/>
      <c r="AB16" s="467"/>
      <c r="AC16" s="297"/>
      <c r="AD16" s="463"/>
      <c r="AE16" s="473"/>
      <c r="AF16" s="465"/>
      <c r="AG16" s="297"/>
      <c r="AH16" s="156" t="s">
        <v>8</v>
      </c>
      <c r="AI16" s="292" t="s">
        <v>1541</v>
      </c>
    </row>
    <row r="17" spans="1:35" ht="36" x14ac:dyDescent="0.25">
      <c r="A17" s="368">
        <v>12</v>
      </c>
      <c r="B17" s="344" t="s">
        <v>8</v>
      </c>
      <c r="C17" s="258" t="s">
        <v>9</v>
      </c>
      <c r="D17" s="285" t="s">
        <v>1868</v>
      </c>
      <c r="E17" s="388" t="s">
        <v>1864</v>
      </c>
      <c r="F17" s="321">
        <v>11</v>
      </c>
      <c r="G17" s="387">
        <v>2000</v>
      </c>
      <c r="H17" s="387">
        <f t="shared" ref="H17:H18" si="19">F17*G17</f>
        <v>22000</v>
      </c>
      <c r="I17" s="387">
        <f>H17*1.22</f>
        <v>26840</v>
      </c>
      <c r="J17" s="324"/>
      <c r="K17" s="345"/>
      <c r="L17" s="345"/>
      <c r="M17" s="345"/>
      <c r="N17" s="346"/>
      <c r="O17" s="345"/>
      <c r="P17" s="345"/>
      <c r="Q17" s="345"/>
      <c r="R17" s="300"/>
      <c r="S17" s="386"/>
      <c r="T17" s="50"/>
      <c r="U17" s="297"/>
      <c r="V17" s="297"/>
      <c r="W17" s="297"/>
      <c r="X17" s="297"/>
      <c r="Y17" s="297"/>
      <c r="Z17" s="297"/>
      <c r="AA17" s="297"/>
      <c r="AB17" s="297"/>
      <c r="AC17" s="297"/>
      <c r="AD17" s="297"/>
      <c r="AE17" s="297"/>
      <c r="AF17" s="297"/>
      <c r="AG17" s="297"/>
      <c r="AH17" s="156" t="s">
        <v>8</v>
      </c>
      <c r="AI17" s="292" t="s">
        <v>1895</v>
      </c>
    </row>
    <row r="18" spans="1:35" ht="409.5" x14ac:dyDescent="0.25">
      <c r="A18" s="368">
        <v>13</v>
      </c>
      <c r="B18" s="344" t="s">
        <v>8</v>
      </c>
      <c r="C18" s="258" t="s">
        <v>9</v>
      </c>
      <c r="D18" s="285" t="s">
        <v>1868</v>
      </c>
      <c r="E18" s="369" t="s">
        <v>1667</v>
      </c>
      <c r="F18" s="368">
        <v>2</v>
      </c>
      <c r="G18" s="389">
        <v>25000</v>
      </c>
      <c r="H18" s="324">
        <f t="shared" si="19"/>
        <v>50000</v>
      </c>
      <c r="I18" s="324">
        <f>H18*1.22</f>
        <v>61000</v>
      </c>
      <c r="J18" s="346">
        <v>2</v>
      </c>
      <c r="K18" s="345">
        <v>25000</v>
      </c>
      <c r="L18" s="345">
        <f t="shared" si="9"/>
        <v>50000</v>
      </c>
      <c r="M18" s="345">
        <f t="shared" ref="M18" si="20">L18*1.22</f>
        <v>61000</v>
      </c>
      <c r="N18" s="346">
        <v>2</v>
      </c>
      <c r="O18" s="347">
        <v>25000</v>
      </c>
      <c r="P18" s="347">
        <f>O18*N18</f>
        <v>50000</v>
      </c>
      <c r="Q18" s="347">
        <f>P18*1.22</f>
        <v>61000</v>
      </c>
      <c r="R18" s="357">
        <v>2020</v>
      </c>
      <c r="S18" s="386">
        <f t="shared" si="17"/>
        <v>0</v>
      </c>
      <c r="T18" s="50">
        <f t="shared" si="18"/>
        <v>0</v>
      </c>
      <c r="U18" s="357">
        <v>2020</v>
      </c>
      <c r="V18" s="292">
        <v>44154</v>
      </c>
      <c r="W18" s="292">
        <v>44161</v>
      </c>
      <c r="X18" s="292"/>
      <c r="Y18" s="287" t="s">
        <v>1852</v>
      </c>
      <c r="Z18" s="421" t="s">
        <v>2058</v>
      </c>
      <c r="AA18" s="287">
        <v>8515622195</v>
      </c>
      <c r="AB18" s="358" t="s">
        <v>1681</v>
      </c>
      <c r="AC18" s="356">
        <v>44155</v>
      </c>
      <c r="AD18" s="287" t="s">
        <v>1853</v>
      </c>
      <c r="AE18" s="285" t="s">
        <v>2086</v>
      </c>
      <c r="AF18" s="287" t="s">
        <v>1854</v>
      </c>
      <c r="AG18" s="421" t="s">
        <v>2065</v>
      </c>
      <c r="AH18" s="359" t="s">
        <v>8</v>
      </c>
      <c r="AI18" s="287" t="s">
        <v>1902</v>
      </c>
    </row>
    <row r="19" spans="1:35" ht="48" x14ac:dyDescent="0.25">
      <c r="A19" s="368" t="s">
        <v>1832</v>
      </c>
      <c r="B19" s="344" t="s">
        <v>8</v>
      </c>
      <c r="C19" s="258" t="s">
        <v>9</v>
      </c>
      <c r="D19" s="285" t="s">
        <v>1868</v>
      </c>
      <c r="E19" s="369" t="s">
        <v>1848</v>
      </c>
      <c r="F19" s="346">
        <v>6</v>
      </c>
      <c r="G19" s="347">
        <v>1131.81</v>
      </c>
      <c r="H19" s="347">
        <f>F19*G19</f>
        <v>6790.86</v>
      </c>
      <c r="I19" s="347">
        <v>6790.86</v>
      </c>
      <c r="J19" s="346">
        <v>6</v>
      </c>
      <c r="K19" s="345">
        <v>1175</v>
      </c>
      <c r="L19" s="345">
        <f>J19*K19</f>
        <v>7050</v>
      </c>
      <c r="M19" s="345">
        <f>L19*1.22</f>
        <v>8601</v>
      </c>
      <c r="N19" s="346">
        <v>6</v>
      </c>
      <c r="O19" s="347">
        <v>1131.81</v>
      </c>
      <c r="P19" s="347">
        <f>N19*O19</f>
        <v>6790.86</v>
      </c>
      <c r="Q19" s="347">
        <v>6790.86</v>
      </c>
      <c r="R19" s="294">
        <v>2020</v>
      </c>
      <c r="S19" s="386">
        <f t="shared" si="17"/>
        <v>0</v>
      </c>
      <c r="T19" s="50">
        <f t="shared" si="18"/>
        <v>0.2104569236135333</v>
      </c>
      <c r="U19" s="294">
        <v>2020</v>
      </c>
      <c r="V19" s="353">
        <v>44154</v>
      </c>
      <c r="W19" s="353">
        <v>44161</v>
      </c>
      <c r="X19" s="353">
        <v>44161</v>
      </c>
      <c r="Y19" s="299" t="s">
        <v>1698</v>
      </c>
      <c r="Z19" s="346" t="s">
        <v>1699</v>
      </c>
      <c r="AA19" s="346" t="s">
        <v>1696</v>
      </c>
      <c r="AB19" s="299" t="s">
        <v>1681</v>
      </c>
      <c r="AC19" s="301" t="s">
        <v>1700</v>
      </c>
      <c r="AD19" s="292">
        <v>44209</v>
      </c>
      <c r="AE19" s="292" t="s">
        <v>1701</v>
      </c>
      <c r="AF19" s="298" t="s">
        <v>1694</v>
      </c>
      <c r="AG19" s="292" t="s">
        <v>1702</v>
      </c>
      <c r="AH19" s="156" t="s">
        <v>8</v>
      </c>
      <c r="AI19" s="292" t="s">
        <v>1541</v>
      </c>
    </row>
    <row r="20" spans="1:35" ht="34.700000000000003" customHeight="1" x14ac:dyDescent="0.25">
      <c r="A20" s="368" t="s">
        <v>1865</v>
      </c>
      <c r="B20" s="344" t="s">
        <v>8</v>
      </c>
      <c r="C20" s="258" t="s">
        <v>9</v>
      </c>
      <c r="D20" s="285" t="s">
        <v>1868</v>
      </c>
      <c r="E20" s="369" t="s">
        <v>1849</v>
      </c>
      <c r="F20" s="346">
        <v>15</v>
      </c>
      <c r="G20" s="324">
        <v>400</v>
      </c>
      <c r="H20" s="324">
        <f>F20*G20</f>
        <v>6000</v>
      </c>
      <c r="I20" s="324">
        <f>H20*1.22</f>
        <v>7320</v>
      </c>
      <c r="J20" s="346">
        <v>15</v>
      </c>
      <c r="K20" s="345">
        <v>405</v>
      </c>
      <c r="L20" s="345">
        <f t="shared" ref="L20:L21" si="21">J20*K20</f>
        <v>6075</v>
      </c>
      <c r="M20" s="345">
        <f t="shared" ref="M20:M21" si="22">L20*1.22</f>
        <v>7411.5</v>
      </c>
      <c r="N20" s="346">
        <v>15</v>
      </c>
      <c r="O20" s="324">
        <v>400</v>
      </c>
      <c r="P20" s="324">
        <f>N20*O20</f>
        <v>6000</v>
      </c>
      <c r="Q20" s="324">
        <f>P20*1.22</f>
        <v>7320</v>
      </c>
      <c r="R20" s="468">
        <v>2020</v>
      </c>
      <c r="S20" s="386">
        <f t="shared" si="17"/>
        <v>0</v>
      </c>
      <c r="T20" s="50">
        <f t="shared" si="18"/>
        <v>1.2345679012345734E-2</v>
      </c>
      <c r="U20" s="468">
        <v>2020</v>
      </c>
      <c r="V20" s="464">
        <v>44154</v>
      </c>
      <c r="W20" s="464">
        <v>44161</v>
      </c>
      <c r="X20" s="464">
        <v>44161</v>
      </c>
      <c r="Y20" s="460" t="s">
        <v>1704</v>
      </c>
      <c r="Z20" s="462" t="s">
        <v>1705</v>
      </c>
      <c r="AA20" s="462" t="s">
        <v>1703</v>
      </c>
      <c r="AB20" s="460" t="s">
        <v>1681</v>
      </c>
      <c r="AC20" s="464">
        <v>44204</v>
      </c>
      <c r="AD20" s="464">
        <v>44204</v>
      </c>
      <c r="AE20" s="464" t="s">
        <v>1706</v>
      </c>
      <c r="AF20" s="466" t="s">
        <v>1694</v>
      </c>
      <c r="AG20" s="464" t="s">
        <v>1707</v>
      </c>
      <c r="AH20" s="472" t="s">
        <v>8</v>
      </c>
      <c r="AI20" s="464" t="s">
        <v>1541</v>
      </c>
    </row>
    <row r="21" spans="1:35" ht="36" x14ac:dyDescent="0.25">
      <c r="A21" s="368" t="s">
        <v>1866</v>
      </c>
      <c r="B21" s="344" t="s">
        <v>8</v>
      </c>
      <c r="C21" s="258" t="s">
        <v>9</v>
      </c>
      <c r="D21" s="285" t="s">
        <v>1868</v>
      </c>
      <c r="E21" s="369" t="s">
        <v>1850</v>
      </c>
      <c r="F21" s="346">
        <v>6</v>
      </c>
      <c r="G21" s="324">
        <v>180</v>
      </c>
      <c r="H21" s="324">
        <f>F21*G21</f>
        <v>1080</v>
      </c>
      <c r="I21" s="324">
        <f>H21*1.22</f>
        <v>1317.6</v>
      </c>
      <c r="J21" s="346">
        <v>4</v>
      </c>
      <c r="K21" s="345">
        <v>182</v>
      </c>
      <c r="L21" s="345">
        <f t="shared" si="21"/>
        <v>728</v>
      </c>
      <c r="M21" s="345">
        <f t="shared" si="22"/>
        <v>888.16</v>
      </c>
      <c r="N21" s="346">
        <v>6</v>
      </c>
      <c r="O21" s="324">
        <v>180</v>
      </c>
      <c r="P21" s="324">
        <f>N21*O21</f>
        <v>1080</v>
      </c>
      <c r="Q21" s="324">
        <f>P21*1.22</f>
        <v>1317.6</v>
      </c>
      <c r="R21" s="469"/>
      <c r="S21" s="386">
        <f t="shared" si="17"/>
        <v>0</v>
      </c>
      <c r="T21" s="50">
        <f t="shared" si="18"/>
        <v>-0.48351648351648358</v>
      </c>
      <c r="U21" s="469"/>
      <c r="V21" s="465"/>
      <c r="W21" s="465"/>
      <c r="X21" s="465"/>
      <c r="Y21" s="461"/>
      <c r="Z21" s="463"/>
      <c r="AA21" s="463"/>
      <c r="AB21" s="461"/>
      <c r="AC21" s="463"/>
      <c r="AD21" s="463"/>
      <c r="AE21" s="463"/>
      <c r="AF21" s="467"/>
      <c r="AG21" s="465"/>
      <c r="AH21" s="473"/>
      <c r="AI21" s="465"/>
    </row>
    <row r="22" spans="1:35" ht="36" x14ac:dyDescent="0.25">
      <c r="A22" s="368">
        <v>15</v>
      </c>
      <c r="B22" s="344" t="s">
        <v>8</v>
      </c>
      <c r="C22" s="258" t="s">
        <v>9</v>
      </c>
      <c r="D22" s="285" t="s">
        <v>1868</v>
      </c>
      <c r="E22" s="383" t="s">
        <v>1775</v>
      </c>
      <c r="F22" s="321">
        <v>2</v>
      </c>
      <c r="G22" s="387">
        <v>1070.4849999999999</v>
      </c>
      <c r="H22" s="387">
        <f t="shared" ref="H22" si="23">F22*G22</f>
        <v>2140.9699999999998</v>
      </c>
      <c r="I22" s="322">
        <f t="shared" ref="I22:I23" si="24">H22*1.22</f>
        <v>2611.9833999999996</v>
      </c>
      <c r="J22" s="354"/>
      <c r="K22" s="297"/>
      <c r="L22" s="297"/>
      <c r="M22" s="297"/>
      <c r="N22" s="297"/>
      <c r="O22" s="297"/>
      <c r="P22" s="297"/>
      <c r="Q22" s="297"/>
      <c r="R22" s="300"/>
      <c r="S22" s="386"/>
      <c r="T22" s="50"/>
      <c r="U22" s="297"/>
      <c r="V22" s="297"/>
      <c r="W22" s="297"/>
      <c r="X22" s="297"/>
      <c r="Y22" s="297"/>
      <c r="Z22" s="297"/>
      <c r="AA22" s="297"/>
      <c r="AB22" s="297"/>
      <c r="AC22" s="297"/>
      <c r="AD22" s="297"/>
      <c r="AE22" s="297"/>
      <c r="AF22" s="297"/>
      <c r="AG22" s="297"/>
      <c r="AH22" s="156" t="s">
        <v>8</v>
      </c>
      <c r="AI22" s="292" t="s">
        <v>1895</v>
      </c>
    </row>
    <row r="23" spans="1:35" ht="36" x14ac:dyDescent="0.25">
      <c r="A23" s="368">
        <v>16</v>
      </c>
      <c r="B23" s="344" t="s">
        <v>8</v>
      </c>
      <c r="C23" s="258" t="s">
        <v>9</v>
      </c>
      <c r="D23" s="285" t="s">
        <v>1868</v>
      </c>
      <c r="E23" s="369" t="s">
        <v>1782</v>
      </c>
      <c r="F23" s="344">
        <v>0</v>
      </c>
      <c r="G23" s="345">
        <v>0</v>
      </c>
      <c r="H23" s="345">
        <f t="shared" ref="H23:H24" si="25">F23*G23</f>
        <v>0</v>
      </c>
      <c r="I23" s="345">
        <f t="shared" si="24"/>
        <v>0</v>
      </c>
      <c r="J23" s="297"/>
      <c r="K23" s="297"/>
      <c r="L23" s="297"/>
      <c r="M23" s="297"/>
      <c r="N23" s="297"/>
      <c r="O23" s="297"/>
      <c r="P23" s="297"/>
      <c r="Q23" s="297"/>
      <c r="R23" s="300"/>
      <c r="S23" s="386"/>
      <c r="T23" s="50"/>
      <c r="U23" s="297"/>
      <c r="V23" s="297"/>
      <c r="W23" s="297"/>
      <c r="X23" s="297"/>
      <c r="Y23" s="297"/>
      <c r="Z23" s="297"/>
      <c r="AA23" s="297"/>
      <c r="AB23" s="297"/>
      <c r="AC23" s="297"/>
      <c r="AD23" s="297"/>
      <c r="AE23" s="297"/>
      <c r="AF23" s="297"/>
      <c r="AG23" s="297"/>
      <c r="AH23" s="297"/>
      <c r="AI23" s="347" t="s">
        <v>1870</v>
      </c>
    </row>
    <row r="24" spans="1:35" ht="48" x14ac:dyDescent="0.25">
      <c r="A24" s="321">
        <v>18</v>
      </c>
      <c r="B24" s="382" t="s">
        <v>8</v>
      </c>
      <c r="C24" s="383" t="s">
        <v>9</v>
      </c>
      <c r="D24" s="384" t="s">
        <v>1868</v>
      </c>
      <c r="E24" s="383" t="s">
        <v>1867</v>
      </c>
      <c r="F24" s="321">
        <v>1</v>
      </c>
      <c r="G24" s="387">
        <v>120000</v>
      </c>
      <c r="H24" s="387">
        <f t="shared" si="25"/>
        <v>120000</v>
      </c>
      <c r="I24" s="387">
        <f>H24*1.22</f>
        <v>146400</v>
      </c>
      <c r="J24" s="297"/>
      <c r="K24" s="297"/>
      <c r="L24" s="297"/>
      <c r="M24" s="297"/>
      <c r="N24" s="297"/>
      <c r="O24" s="297"/>
      <c r="P24" s="297"/>
      <c r="Q24" s="297"/>
      <c r="R24" s="300"/>
      <c r="S24" s="386"/>
      <c r="T24" s="50"/>
      <c r="U24" s="297"/>
      <c r="V24" s="297"/>
      <c r="W24" s="297"/>
      <c r="X24" s="297"/>
      <c r="Y24" s="297"/>
      <c r="Z24" s="297"/>
      <c r="AA24" s="297"/>
      <c r="AB24" s="297"/>
      <c r="AC24" s="297"/>
      <c r="AD24" s="297"/>
      <c r="AE24" s="297"/>
      <c r="AF24" s="297"/>
      <c r="AG24" s="297"/>
      <c r="AH24" s="156" t="s">
        <v>8</v>
      </c>
      <c r="AI24" s="292" t="s">
        <v>1895</v>
      </c>
    </row>
    <row r="26" spans="1:35" s="255" customFormat="1" x14ac:dyDescent="0.25">
      <c r="A26" s="480" t="s">
        <v>59</v>
      </c>
      <c r="B26" s="481"/>
      <c r="C26" s="481"/>
      <c r="D26" s="481"/>
      <c r="E26" s="481"/>
      <c r="F26" s="481"/>
      <c r="G26" s="482"/>
      <c r="H26" s="380">
        <f>SUM(H2:H24)</f>
        <v>696425.80399999989</v>
      </c>
      <c r="I26" s="380">
        <f>SUM(I2:I25)</f>
        <v>800624.99647999997</v>
      </c>
      <c r="J26" s="480" t="s">
        <v>59</v>
      </c>
      <c r="K26" s="481"/>
      <c r="L26" s="481"/>
      <c r="M26" s="481"/>
      <c r="N26" s="481"/>
      <c r="O26" s="482"/>
      <c r="P26" s="380">
        <f>SUM(P2:P24)</f>
        <v>552081.43400000001</v>
      </c>
      <c r="Q26" s="380">
        <f>SUM(Q2:Q24)</f>
        <v>624572.36308000004</v>
      </c>
      <c r="R26" s="303"/>
      <c r="S26" s="380">
        <f>SUM(S2:S25)</f>
        <v>75.279999999999745</v>
      </c>
    </row>
  </sheetData>
  <autoFilter ref="A1:AI24"/>
  <mergeCells count="68">
    <mergeCell ref="A26:G26"/>
    <mergeCell ref="J26:O26"/>
    <mergeCell ref="AA5:AA6"/>
    <mergeCell ref="Y5:Y6"/>
    <mergeCell ref="Z5:Z6"/>
    <mergeCell ref="R11:R12"/>
    <mergeCell ref="U11:U12"/>
    <mergeCell ref="V11:V12"/>
    <mergeCell ref="W11:W12"/>
    <mergeCell ref="X11:X12"/>
    <mergeCell ref="Y11:Y12"/>
    <mergeCell ref="Z11:Z12"/>
    <mergeCell ref="AA11:AA12"/>
    <mergeCell ref="R20:R21"/>
    <mergeCell ref="U20:U21"/>
    <mergeCell ref="V20:V21"/>
    <mergeCell ref="AG5:AG6"/>
    <mergeCell ref="AH5:AH6"/>
    <mergeCell ref="AI5:AI6"/>
    <mergeCell ref="U5:U6"/>
    <mergeCell ref="R5:R6"/>
    <mergeCell ref="V5:V6"/>
    <mergeCell ref="W5:W6"/>
    <mergeCell ref="X5:X6"/>
    <mergeCell ref="AC5:AC6"/>
    <mergeCell ref="AB5:AB6"/>
    <mergeCell ref="AD5:AD6"/>
    <mergeCell ref="AE5:AE6"/>
    <mergeCell ref="AF5:AF6"/>
    <mergeCell ref="AB11:AB12"/>
    <mergeCell ref="AD11:AD12"/>
    <mergeCell ref="AE11:AE12"/>
    <mergeCell ref="AF11:AF12"/>
    <mergeCell ref="R13:R14"/>
    <mergeCell ref="U13:U14"/>
    <mergeCell ref="V13:V14"/>
    <mergeCell ref="X13:X14"/>
    <mergeCell ref="Y13:Y14"/>
    <mergeCell ref="Z13:Z14"/>
    <mergeCell ref="AA13:AA14"/>
    <mergeCell ref="AB13:AB14"/>
    <mergeCell ref="AD13:AD14"/>
    <mergeCell ref="AE13:AE14"/>
    <mergeCell ref="W20:W21"/>
    <mergeCell ref="AF13:AF14"/>
    <mergeCell ref="R15:R16"/>
    <mergeCell ref="U15:U16"/>
    <mergeCell ref="V15:V16"/>
    <mergeCell ref="X15:X16"/>
    <mergeCell ref="Y15:Y16"/>
    <mergeCell ref="Z15:Z16"/>
    <mergeCell ref="AA15:AA16"/>
    <mergeCell ref="AB15:AB16"/>
    <mergeCell ref="AD15:AD16"/>
    <mergeCell ref="AE15:AE16"/>
    <mergeCell ref="AF15:AF16"/>
    <mergeCell ref="X20:X21"/>
    <mergeCell ref="Y20:Y21"/>
    <mergeCell ref="Z20:Z21"/>
    <mergeCell ref="AA20:AA21"/>
    <mergeCell ref="AG20:AG21"/>
    <mergeCell ref="AH20:AH21"/>
    <mergeCell ref="AI20:AI21"/>
    <mergeCell ref="AB20:AB21"/>
    <mergeCell ref="AC20:AC21"/>
    <mergeCell ref="AD20:AD21"/>
    <mergeCell ref="AE20:AE21"/>
    <mergeCell ref="AF20:AF21"/>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4"/>
  <sheetViews>
    <sheetView topLeftCell="N1" workbookViewId="0">
      <pane ySplit="1" topLeftCell="A2" activePane="bottomLeft" state="frozen"/>
      <selection pane="bottomLeft" activeCell="AE10" sqref="AE10"/>
    </sheetView>
  </sheetViews>
  <sheetFormatPr defaultColWidth="9" defaultRowHeight="15" x14ac:dyDescent="0.25"/>
  <cols>
    <col min="1" max="1" width="6.85546875" style="261" customWidth="1"/>
    <col min="2" max="2" width="6.140625" style="255" customWidth="1"/>
    <col min="3" max="4" width="9" style="255"/>
    <col min="5" max="5" width="13.7109375" style="255" customWidth="1"/>
    <col min="6" max="6" width="9" style="427"/>
    <col min="7" max="7" width="13.28515625" style="427" customWidth="1"/>
    <col min="8" max="8" width="11.42578125" style="427" bestFit="1" customWidth="1"/>
    <col min="9" max="9" width="13" style="427" bestFit="1" customWidth="1"/>
    <col min="10" max="11" width="9" style="427"/>
    <col min="12" max="12" width="11.5703125" style="427" bestFit="1" customWidth="1"/>
    <col min="13" max="13" width="11.7109375" style="427" bestFit="1" customWidth="1"/>
    <col min="14" max="14" width="9" style="427"/>
    <col min="15" max="15" width="15.5703125" style="427" customWidth="1"/>
    <col min="16" max="17" width="9" style="427"/>
    <col min="18" max="18" width="9.140625" style="429" bestFit="1" customWidth="1"/>
    <col min="19" max="19" width="11.42578125" style="427" bestFit="1" customWidth="1"/>
    <col min="20" max="20" width="9" style="427"/>
    <col min="21" max="24" width="10.85546875" style="427" bestFit="1" customWidth="1"/>
    <col min="25" max="25" width="9" style="427"/>
    <col min="26" max="26" width="19.140625" style="427" bestFit="1" customWidth="1"/>
    <col min="27" max="27" width="9" style="427"/>
    <col min="28" max="28" width="16" style="427" bestFit="1" customWidth="1"/>
    <col min="29" max="29" width="14.5703125" style="427" customWidth="1"/>
    <col min="30" max="30" width="16.28515625" style="427" customWidth="1"/>
    <col min="31" max="31" width="22.5703125" style="427" customWidth="1"/>
    <col min="32" max="35" width="9" style="427"/>
    <col min="36" max="16384" width="9" style="255"/>
  </cols>
  <sheetData>
    <row r="1" spans="1:35" s="170" customFormat="1" ht="37.9" customHeight="1" x14ac:dyDescent="0.25">
      <c r="A1" s="290" t="s">
        <v>0</v>
      </c>
      <c r="B1" s="66" t="s">
        <v>1</v>
      </c>
      <c r="C1" s="66" t="s">
        <v>2</v>
      </c>
      <c r="D1" s="66" t="s">
        <v>3</v>
      </c>
      <c r="E1" s="66" t="s">
        <v>4</v>
      </c>
      <c r="F1" s="66" t="s">
        <v>5</v>
      </c>
      <c r="G1" s="66" t="s">
        <v>186</v>
      </c>
      <c r="H1" s="66" t="s">
        <v>92</v>
      </c>
      <c r="I1" s="66" t="s">
        <v>61</v>
      </c>
      <c r="J1" s="66" t="s">
        <v>5</v>
      </c>
      <c r="K1" s="189" t="s">
        <v>105</v>
      </c>
      <c r="L1" s="66" t="s">
        <v>92</v>
      </c>
      <c r="M1" s="66" t="s">
        <v>61</v>
      </c>
      <c r="N1" s="66" t="s">
        <v>5</v>
      </c>
      <c r="O1" s="66" t="s">
        <v>67</v>
      </c>
      <c r="P1" s="66" t="s">
        <v>6</v>
      </c>
      <c r="Q1" s="66" t="s">
        <v>7</v>
      </c>
      <c r="R1" s="291" t="s">
        <v>313</v>
      </c>
      <c r="S1" s="66" t="s">
        <v>93</v>
      </c>
      <c r="T1" s="66" t="s">
        <v>267</v>
      </c>
      <c r="U1" s="66" t="s">
        <v>106</v>
      </c>
      <c r="V1" s="66" t="s">
        <v>107</v>
      </c>
      <c r="W1" s="66" t="s">
        <v>108</v>
      </c>
      <c r="X1" s="66" t="s">
        <v>109</v>
      </c>
      <c r="Y1" s="66" t="s">
        <v>110</v>
      </c>
      <c r="Z1" s="66" t="s">
        <v>111</v>
      </c>
      <c r="AA1" s="66" t="s">
        <v>112</v>
      </c>
      <c r="AB1" s="66" t="s">
        <v>113</v>
      </c>
      <c r="AC1" s="66" t="s">
        <v>114</v>
      </c>
      <c r="AD1" s="66" t="s">
        <v>115</v>
      </c>
      <c r="AE1" s="66" t="s">
        <v>116</v>
      </c>
      <c r="AF1" s="66" t="s">
        <v>117</v>
      </c>
      <c r="AG1" s="66" t="s">
        <v>118</v>
      </c>
      <c r="AH1" s="64" t="s">
        <v>1544</v>
      </c>
      <c r="AI1" s="64" t="s">
        <v>1540</v>
      </c>
    </row>
    <row r="2" spans="1:35" ht="23.1" customHeight="1" x14ac:dyDescent="0.25">
      <c r="A2" s="346">
        <v>1</v>
      </c>
      <c r="B2" s="344" t="s">
        <v>8</v>
      </c>
      <c r="C2" s="258" t="s">
        <v>9</v>
      </c>
      <c r="D2" s="285" t="s">
        <v>25</v>
      </c>
      <c r="E2" s="285" t="s">
        <v>1735</v>
      </c>
      <c r="F2" s="346">
        <v>5</v>
      </c>
      <c r="G2" s="386">
        <v>2900</v>
      </c>
      <c r="H2" s="386">
        <f>F2*G2</f>
        <v>14500</v>
      </c>
      <c r="I2" s="386">
        <f>H2*1.22</f>
        <v>17690</v>
      </c>
      <c r="J2" s="423"/>
      <c r="K2" s="423"/>
      <c r="L2" s="423"/>
      <c r="M2" s="287"/>
      <c r="N2" s="287"/>
      <c r="O2" s="287"/>
      <c r="P2" s="287"/>
      <c r="Q2" s="287"/>
      <c r="R2" s="424"/>
      <c r="S2" s="425"/>
      <c r="T2" s="287"/>
      <c r="U2" s="287"/>
      <c r="V2" s="287"/>
      <c r="W2" s="287"/>
      <c r="X2" s="287"/>
      <c r="Y2" s="287"/>
      <c r="Z2" s="287"/>
      <c r="AA2" s="287"/>
      <c r="AB2" s="287"/>
      <c r="AC2" s="287"/>
      <c r="AD2" s="287"/>
      <c r="AE2" s="287"/>
      <c r="AF2" s="287"/>
      <c r="AG2" s="287"/>
      <c r="AH2" s="347" t="s">
        <v>8</v>
      </c>
      <c r="AI2" s="347" t="s">
        <v>1895</v>
      </c>
    </row>
    <row r="3" spans="1:35" ht="24" x14ac:dyDescent="0.25">
      <c r="A3" s="346">
        <v>2</v>
      </c>
      <c r="B3" s="344" t="s">
        <v>8</v>
      </c>
      <c r="C3" s="258" t="s">
        <v>9</v>
      </c>
      <c r="D3" s="285" t="s">
        <v>25</v>
      </c>
      <c r="E3" s="285" t="s">
        <v>1779</v>
      </c>
      <c r="F3" s="346">
        <v>1</v>
      </c>
      <c r="G3" s="386">
        <v>20000</v>
      </c>
      <c r="H3" s="386">
        <f t="shared" ref="H3:H9" si="0">F3*G3</f>
        <v>20000</v>
      </c>
      <c r="I3" s="386">
        <f t="shared" ref="I3:I9" si="1">H3*1.22</f>
        <v>24400</v>
      </c>
      <c r="J3" s="423"/>
      <c r="K3" s="423"/>
      <c r="L3" s="423"/>
      <c r="M3" s="287"/>
      <c r="N3" s="287"/>
      <c r="O3" s="287"/>
      <c r="P3" s="287"/>
      <c r="Q3" s="287"/>
      <c r="R3" s="424"/>
      <c r="S3" s="425"/>
      <c r="T3" s="287"/>
      <c r="U3" s="287"/>
      <c r="V3" s="287"/>
      <c r="W3" s="287"/>
      <c r="X3" s="287"/>
      <c r="Y3" s="287"/>
      <c r="Z3" s="287"/>
      <c r="AA3" s="287"/>
      <c r="AB3" s="287"/>
      <c r="AC3" s="287"/>
      <c r="AD3" s="287"/>
      <c r="AE3" s="287"/>
      <c r="AF3" s="287"/>
      <c r="AG3" s="287"/>
      <c r="AH3" s="347" t="s">
        <v>8</v>
      </c>
      <c r="AI3" s="347" t="s">
        <v>1895</v>
      </c>
    </row>
    <row r="4" spans="1:35" ht="84" x14ac:dyDescent="0.25">
      <c r="A4" s="346">
        <v>7</v>
      </c>
      <c r="B4" s="344" t="s">
        <v>8</v>
      </c>
      <c r="C4" s="258" t="s">
        <v>9</v>
      </c>
      <c r="D4" s="285" t="s">
        <v>25</v>
      </c>
      <c r="E4" s="285" t="s">
        <v>1805</v>
      </c>
      <c r="F4" s="346">
        <v>4</v>
      </c>
      <c r="G4" s="386">
        <v>60000</v>
      </c>
      <c r="H4" s="386">
        <f t="shared" ref="H4" si="2">F4*G4</f>
        <v>240000</v>
      </c>
      <c r="I4" s="386">
        <f t="shared" ref="I4" si="3">H4*1.22</f>
        <v>292800</v>
      </c>
      <c r="J4" s="423"/>
      <c r="K4" s="423"/>
      <c r="L4" s="423"/>
      <c r="M4" s="287"/>
      <c r="N4" s="287"/>
      <c r="O4" s="287"/>
      <c r="P4" s="287"/>
      <c r="Q4" s="287"/>
      <c r="R4" s="424"/>
      <c r="S4" s="425"/>
      <c r="T4" s="287"/>
      <c r="U4" s="287"/>
      <c r="V4" s="287"/>
      <c r="W4" s="287"/>
      <c r="X4" s="287"/>
      <c r="Y4" s="287"/>
      <c r="Z4" s="287"/>
      <c r="AA4" s="287"/>
      <c r="AB4" s="287"/>
      <c r="AC4" s="287"/>
      <c r="AD4" s="287"/>
      <c r="AE4" s="287"/>
      <c r="AF4" s="287"/>
      <c r="AG4" s="287"/>
      <c r="AH4" s="347" t="s">
        <v>8</v>
      </c>
      <c r="AI4" s="347" t="s">
        <v>1895</v>
      </c>
    </row>
    <row r="5" spans="1:35" ht="60" x14ac:dyDescent="0.25">
      <c r="A5" s="346">
        <v>8</v>
      </c>
      <c r="B5" s="344" t="s">
        <v>8</v>
      </c>
      <c r="C5" s="258" t="s">
        <v>9</v>
      </c>
      <c r="D5" s="285" t="s">
        <v>25</v>
      </c>
      <c r="E5" s="285" t="s">
        <v>1780</v>
      </c>
      <c r="F5" s="346">
        <v>12</v>
      </c>
      <c r="G5" s="386">
        <v>7000</v>
      </c>
      <c r="H5" s="386">
        <f t="shared" si="0"/>
        <v>84000</v>
      </c>
      <c r="I5" s="386">
        <f t="shared" si="1"/>
        <v>102480</v>
      </c>
      <c r="J5" s="422">
        <v>15</v>
      </c>
      <c r="K5" s="347">
        <f>L5/J5</f>
        <v>5800</v>
      </c>
      <c r="L5" s="347">
        <v>87000</v>
      </c>
      <c r="M5" s="347">
        <f>L5*1.22</f>
        <v>106140</v>
      </c>
      <c r="N5" s="321">
        <v>12</v>
      </c>
      <c r="O5" s="381">
        <f>P5/N5</f>
        <v>6602.28</v>
      </c>
      <c r="P5" s="381">
        <v>79227.360000000001</v>
      </c>
      <c r="Q5" s="347">
        <f>P5*1.05</f>
        <v>83188.728000000003</v>
      </c>
      <c r="R5" s="422">
        <v>2022</v>
      </c>
      <c r="S5" s="425">
        <f t="shared" ref="S5:S15" si="4">I5-Q5</f>
        <v>19291.271999999997</v>
      </c>
      <c r="T5" s="426">
        <f>1-Q5/M5</f>
        <v>0.2162358394573205</v>
      </c>
      <c r="U5" s="356">
        <v>44923</v>
      </c>
      <c r="V5" s="356">
        <v>44928</v>
      </c>
      <c r="W5" s="356">
        <v>44925</v>
      </c>
      <c r="X5" s="356">
        <v>44935</v>
      </c>
      <c r="Y5" s="287"/>
      <c r="Z5" s="287" t="s">
        <v>2080</v>
      </c>
      <c r="AA5" s="287">
        <v>9574208661</v>
      </c>
      <c r="AB5" s="287" t="s">
        <v>2031</v>
      </c>
      <c r="AC5" s="287"/>
      <c r="AD5" s="287"/>
      <c r="AE5" s="287"/>
      <c r="AF5" s="287"/>
      <c r="AG5" s="287"/>
      <c r="AH5" s="347" t="s">
        <v>8</v>
      </c>
      <c r="AI5" s="347" t="s">
        <v>2038</v>
      </c>
    </row>
    <row r="6" spans="1:35" ht="24" x14ac:dyDescent="0.25">
      <c r="A6" s="346">
        <v>9</v>
      </c>
      <c r="B6" s="344" t="s">
        <v>8</v>
      </c>
      <c r="C6" s="258" t="s">
        <v>9</v>
      </c>
      <c r="D6" s="285" t="s">
        <v>25</v>
      </c>
      <c r="E6" s="285" t="s">
        <v>217</v>
      </c>
      <c r="F6" s="346">
        <v>1</v>
      </c>
      <c r="G6" s="386">
        <v>14000</v>
      </c>
      <c r="H6" s="386">
        <f t="shared" si="0"/>
        <v>14000</v>
      </c>
      <c r="I6" s="386">
        <f t="shared" si="1"/>
        <v>17080</v>
      </c>
      <c r="J6" s="422">
        <v>1</v>
      </c>
      <c r="K6" s="347">
        <v>14000</v>
      </c>
      <c r="L6" s="347">
        <f>J6*K6</f>
        <v>14000</v>
      </c>
      <c r="M6" s="347">
        <f>L6*1.22</f>
        <v>17080</v>
      </c>
      <c r="N6" s="422">
        <v>1</v>
      </c>
      <c r="O6" s="347">
        <v>13619.55</v>
      </c>
      <c r="P6" s="347">
        <f>N6*O6</f>
        <v>13619.55</v>
      </c>
      <c r="Q6" s="420">
        <f>P6*1.22</f>
        <v>16615.850999999999</v>
      </c>
      <c r="R6" s="413">
        <v>2023</v>
      </c>
      <c r="S6" s="425"/>
      <c r="T6" s="426"/>
      <c r="U6" s="356">
        <v>44923</v>
      </c>
      <c r="V6" s="356">
        <v>44928</v>
      </c>
      <c r="W6" s="287"/>
      <c r="X6" s="287"/>
      <c r="Y6" s="287"/>
      <c r="Z6" s="287" t="s">
        <v>2084</v>
      </c>
      <c r="AA6" s="287" t="s">
        <v>2046</v>
      </c>
      <c r="AB6" s="287" t="s">
        <v>2081</v>
      </c>
      <c r="AC6" s="287"/>
      <c r="AD6" s="287"/>
      <c r="AE6" s="287"/>
      <c r="AF6" s="287"/>
      <c r="AG6" s="287"/>
      <c r="AH6" s="347" t="s">
        <v>8</v>
      </c>
      <c r="AI6" s="347" t="s">
        <v>2038</v>
      </c>
    </row>
    <row r="7" spans="1:35" ht="24" x14ac:dyDescent="0.25">
      <c r="A7" s="346">
        <v>10</v>
      </c>
      <c r="B7" s="344" t="s">
        <v>8</v>
      </c>
      <c r="C7" s="258" t="s">
        <v>9</v>
      </c>
      <c r="D7" s="285" t="s">
        <v>25</v>
      </c>
      <c r="E7" s="258" t="s">
        <v>37</v>
      </c>
      <c r="F7" s="422">
        <v>1</v>
      </c>
      <c r="G7" s="386">
        <v>18000</v>
      </c>
      <c r="H7" s="386">
        <f t="shared" si="0"/>
        <v>18000</v>
      </c>
      <c r="I7" s="386">
        <f t="shared" si="1"/>
        <v>21960</v>
      </c>
      <c r="J7" s="422">
        <v>1</v>
      </c>
      <c r="K7" s="347">
        <v>18000</v>
      </c>
      <c r="L7" s="347">
        <f>J7*K7</f>
        <v>18000</v>
      </c>
      <c r="M7" s="347">
        <f>L7*1.22</f>
        <v>21960</v>
      </c>
      <c r="N7" s="422">
        <v>1</v>
      </c>
      <c r="O7" s="347">
        <v>15120</v>
      </c>
      <c r="P7" s="347">
        <f>N7*O7</f>
        <v>15120</v>
      </c>
      <c r="Q7" s="381">
        <f>P7*1.05</f>
        <v>15876</v>
      </c>
      <c r="R7" s="422">
        <v>2022</v>
      </c>
      <c r="S7" s="425">
        <f t="shared" si="4"/>
        <v>6084</v>
      </c>
      <c r="T7" s="426">
        <f t="shared" ref="T7:T15" si="5">1-Q7/M7</f>
        <v>0.27704918032786885</v>
      </c>
      <c r="U7" s="356">
        <v>44923</v>
      </c>
      <c r="V7" s="356">
        <v>44928</v>
      </c>
      <c r="W7" s="356">
        <v>44925</v>
      </c>
      <c r="X7" s="356">
        <v>44935</v>
      </c>
      <c r="Y7" s="287"/>
      <c r="Z7" s="287" t="s">
        <v>2075</v>
      </c>
      <c r="AA7" s="287" t="s">
        <v>2039</v>
      </c>
      <c r="AB7" s="287" t="s">
        <v>2031</v>
      </c>
      <c r="AC7" s="356">
        <v>45030</v>
      </c>
      <c r="AD7" s="356">
        <v>45035</v>
      </c>
      <c r="AE7" s="287" t="s">
        <v>2088</v>
      </c>
      <c r="AF7" s="287"/>
      <c r="AG7" s="287"/>
      <c r="AH7" s="347" t="s">
        <v>8</v>
      </c>
      <c r="AI7" s="347" t="s">
        <v>2038</v>
      </c>
    </row>
    <row r="8" spans="1:35" ht="24" x14ac:dyDescent="0.25">
      <c r="A8" s="346">
        <v>11</v>
      </c>
      <c r="B8" s="344" t="s">
        <v>8</v>
      </c>
      <c r="C8" s="258" t="s">
        <v>9</v>
      </c>
      <c r="D8" s="285" t="s">
        <v>25</v>
      </c>
      <c r="E8" s="258" t="s">
        <v>54</v>
      </c>
      <c r="F8" s="422">
        <v>1</v>
      </c>
      <c r="G8" s="386">
        <v>26000</v>
      </c>
      <c r="H8" s="386">
        <f t="shared" si="0"/>
        <v>26000</v>
      </c>
      <c r="I8" s="386">
        <f t="shared" si="1"/>
        <v>31720</v>
      </c>
      <c r="J8" s="422">
        <v>1</v>
      </c>
      <c r="K8" s="347">
        <v>38000</v>
      </c>
      <c r="L8" s="347">
        <f>J8*K8</f>
        <v>38000</v>
      </c>
      <c r="M8" s="347">
        <f>L8*1.22</f>
        <v>46360</v>
      </c>
      <c r="N8" s="422">
        <v>1</v>
      </c>
      <c r="O8" s="347">
        <v>36500</v>
      </c>
      <c r="P8" s="347">
        <f>N8*O8</f>
        <v>36500</v>
      </c>
      <c r="Q8" s="381">
        <f>P8*1.05</f>
        <v>38325</v>
      </c>
      <c r="R8" s="413">
        <v>2022</v>
      </c>
      <c r="S8" s="425">
        <f t="shared" si="4"/>
        <v>-6605</v>
      </c>
      <c r="T8" s="426">
        <f t="shared" si="5"/>
        <v>0.17331751509922344</v>
      </c>
      <c r="U8" s="356">
        <v>44923</v>
      </c>
      <c r="V8" s="356">
        <v>44928</v>
      </c>
      <c r="W8" s="356">
        <v>44925</v>
      </c>
      <c r="X8" s="356">
        <v>44935</v>
      </c>
      <c r="Y8" s="287"/>
      <c r="Z8" s="287" t="s">
        <v>2070</v>
      </c>
      <c r="AA8" s="287" t="s">
        <v>2037</v>
      </c>
      <c r="AB8" s="287" t="s">
        <v>2031</v>
      </c>
      <c r="AC8" s="356">
        <v>45015</v>
      </c>
      <c r="AD8" s="356">
        <v>45015</v>
      </c>
      <c r="AE8" s="287"/>
      <c r="AF8" s="287"/>
      <c r="AG8" s="287"/>
      <c r="AH8" s="347" t="s">
        <v>8</v>
      </c>
      <c r="AI8" s="347" t="s">
        <v>2038</v>
      </c>
    </row>
    <row r="9" spans="1:35" ht="24" x14ac:dyDescent="0.25">
      <c r="A9" s="346">
        <v>12</v>
      </c>
      <c r="B9" s="344" t="s">
        <v>8</v>
      </c>
      <c r="C9" s="258" t="s">
        <v>9</v>
      </c>
      <c r="D9" s="285" t="s">
        <v>25</v>
      </c>
      <c r="E9" s="258" t="s">
        <v>1871</v>
      </c>
      <c r="F9" s="422">
        <v>2</v>
      </c>
      <c r="G9" s="386">
        <v>5000</v>
      </c>
      <c r="H9" s="386">
        <f t="shared" si="0"/>
        <v>10000</v>
      </c>
      <c r="I9" s="386">
        <f t="shared" si="1"/>
        <v>12200</v>
      </c>
      <c r="J9" s="423"/>
      <c r="K9" s="423"/>
      <c r="L9" s="423"/>
      <c r="M9" s="287"/>
      <c r="N9" s="287"/>
      <c r="O9" s="287"/>
      <c r="P9" s="287"/>
      <c r="Q9" s="287"/>
      <c r="R9" s="424"/>
      <c r="S9" s="425"/>
      <c r="T9" s="426"/>
      <c r="U9" s="287"/>
      <c r="V9" s="287"/>
      <c r="W9" s="287"/>
      <c r="X9" s="287"/>
      <c r="Y9" s="287"/>
      <c r="Z9" s="287"/>
      <c r="AA9" s="287"/>
      <c r="AB9" s="287"/>
      <c r="AC9" s="287"/>
      <c r="AD9" s="287"/>
      <c r="AE9" s="287"/>
      <c r="AF9" s="287"/>
      <c r="AG9" s="287"/>
      <c r="AH9" s="347" t="s">
        <v>8</v>
      </c>
      <c r="AI9" s="347" t="s">
        <v>1895</v>
      </c>
    </row>
    <row r="10" spans="1:35" ht="24" x14ac:dyDescent="0.25">
      <c r="A10" s="346">
        <v>13</v>
      </c>
      <c r="B10" s="344" t="s">
        <v>8</v>
      </c>
      <c r="C10" s="258" t="s">
        <v>9</v>
      </c>
      <c r="D10" s="285" t="s">
        <v>25</v>
      </c>
      <c r="E10" s="258" t="s">
        <v>65</v>
      </c>
      <c r="F10" s="422">
        <v>5</v>
      </c>
      <c r="G10" s="386">
        <v>2000</v>
      </c>
      <c r="H10" s="386">
        <f t="shared" ref="H10:H17" si="6">F10*G10</f>
        <v>10000</v>
      </c>
      <c r="I10" s="386">
        <f t="shared" ref="I10:I17" si="7">H10*1.22</f>
        <v>12200</v>
      </c>
      <c r="J10" s="422">
        <v>5</v>
      </c>
      <c r="K10" s="347">
        <v>6500</v>
      </c>
      <c r="L10" s="347">
        <f>J10*K10</f>
        <v>32500</v>
      </c>
      <c r="M10" s="347">
        <f>L10*1.22</f>
        <v>39650</v>
      </c>
      <c r="N10" s="422">
        <v>5</v>
      </c>
      <c r="O10" s="347">
        <f>P10/N10</f>
        <v>6210</v>
      </c>
      <c r="P10" s="347">
        <v>31050</v>
      </c>
      <c r="Q10" s="381">
        <f>P10*1.22</f>
        <v>37881</v>
      </c>
      <c r="R10" s="413">
        <v>2022</v>
      </c>
      <c r="S10" s="425">
        <f t="shared" si="4"/>
        <v>-25681</v>
      </c>
      <c r="T10" s="426">
        <f t="shared" si="5"/>
        <v>4.4615384615384612E-2</v>
      </c>
      <c r="U10" s="356">
        <v>44923</v>
      </c>
      <c r="V10" s="356">
        <v>44928</v>
      </c>
      <c r="W10" s="356">
        <v>44925</v>
      </c>
      <c r="X10" s="356">
        <v>44935</v>
      </c>
      <c r="Y10" s="287"/>
      <c r="Z10" s="287" t="s">
        <v>2098</v>
      </c>
      <c r="AA10" s="287" t="s">
        <v>2040</v>
      </c>
      <c r="AB10" s="287" t="s">
        <v>2031</v>
      </c>
      <c r="AC10" s="356">
        <v>45091</v>
      </c>
      <c r="AD10" s="356">
        <v>45097</v>
      </c>
      <c r="AE10" s="287"/>
      <c r="AF10" s="287"/>
      <c r="AG10" s="287"/>
      <c r="AH10" s="347" t="s">
        <v>8</v>
      </c>
      <c r="AI10" s="347" t="s">
        <v>2038</v>
      </c>
    </row>
    <row r="11" spans="1:35" ht="24" x14ac:dyDescent="0.25">
      <c r="A11" s="346">
        <v>14</v>
      </c>
      <c r="B11" s="344" t="s">
        <v>8</v>
      </c>
      <c r="C11" s="258" t="s">
        <v>9</v>
      </c>
      <c r="D11" s="285" t="s">
        <v>25</v>
      </c>
      <c r="E11" s="258" t="s">
        <v>1666</v>
      </c>
      <c r="F11" s="422">
        <v>3</v>
      </c>
      <c r="G11" s="386">
        <v>9000</v>
      </c>
      <c r="H11" s="386">
        <f t="shared" si="6"/>
        <v>27000</v>
      </c>
      <c r="I11" s="386">
        <f t="shared" si="7"/>
        <v>32940</v>
      </c>
      <c r="J11" s="422">
        <v>3</v>
      </c>
      <c r="K11" s="347">
        <v>10000</v>
      </c>
      <c r="L11" s="347">
        <f>J11*K11</f>
        <v>30000</v>
      </c>
      <c r="M11" s="347">
        <f>L11*1.22</f>
        <v>36600</v>
      </c>
      <c r="N11" s="288">
        <v>3</v>
      </c>
      <c r="O11" s="347">
        <f>P11/N11</f>
        <v>8867.64</v>
      </c>
      <c r="P11" s="347">
        <v>26602.92</v>
      </c>
      <c r="Q11" s="425">
        <f>P11*1.22</f>
        <v>32455.562399999999</v>
      </c>
      <c r="R11" s="413">
        <v>2023</v>
      </c>
      <c r="S11" s="425">
        <f t="shared" ref="S11" si="8">I11-Q11</f>
        <v>484.43760000000111</v>
      </c>
      <c r="T11" s="426">
        <f t="shared" ref="T11" si="9">1-Q11/M11</f>
        <v>0.113236</v>
      </c>
      <c r="U11" s="356">
        <v>44923</v>
      </c>
      <c r="V11" s="356">
        <v>44928</v>
      </c>
      <c r="W11" s="356">
        <v>44945</v>
      </c>
      <c r="X11" s="356">
        <v>44956</v>
      </c>
      <c r="Y11" s="287"/>
      <c r="Z11" s="287" t="s">
        <v>2071</v>
      </c>
      <c r="AA11" s="287" t="s">
        <v>2041</v>
      </c>
      <c r="AB11" s="287" t="s">
        <v>2081</v>
      </c>
      <c r="AC11" s="356">
        <v>45030</v>
      </c>
      <c r="AD11" s="356">
        <v>45072</v>
      </c>
      <c r="AE11" s="287" t="s">
        <v>2091</v>
      </c>
      <c r="AF11" s="287"/>
      <c r="AG11" s="287"/>
      <c r="AH11" s="347" t="s">
        <v>8</v>
      </c>
      <c r="AI11" s="347" t="s">
        <v>2038</v>
      </c>
    </row>
    <row r="12" spans="1:35" ht="24" x14ac:dyDescent="0.25">
      <c r="A12" s="346">
        <v>15</v>
      </c>
      <c r="B12" s="344" t="s">
        <v>8</v>
      </c>
      <c r="C12" s="258" t="s">
        <v>9</v>
      </c>
      <c r="D12" s="285" t="s">
        <v>25</v>
      </c>
      <c r="E12" s="258" t="s">
        <v>1670</v>
      </c>
      <c r="F12" s="422">
        <v>10</v>
      </c>
      <c r="G12" s="386">
        <v>1300</v>
      </c>
      <c r="H12" s="386">
        <f t="shared" si="6"/>
        <v>13000</v>
      </c>
      <c r="I12" s="386">
        <f t="shared" si="7"/>
        <v>15860</v>
      </c>
      <c r="J12" s="422">
        <v>10</v>
      </c>
      <c r="K12" s="386">
        <v>1300</v>
      </c>
      <c r="L12" s="386">
        <f t="shared" ref="L12" si="10">J12*K12</f>
        <v>13000</v>
      </c>
      <c r="M12" s="386">
        <f t="shared" ref="M12" si="11">L12*1.22</f>
        <v>15860</v>
      </c>
      <c r="N12" s="422">
        <v>10</v>
      </c>
      <c r="O12" s="386">
        <v>1289.42</v>
      </c>
      <c r="P12" s="386">
        <f t="shared" ref="P12" si="12">N12*O12</f>
        <v>12894.2</v>
      </c>
      <c r="Q12" s="386">
        <f>P12*1.05</f>
        <v>13538.910000000002</v>
      </c>
      <c r="R12" s="413">
        <v>2022</v>
      </c>
      <c r="S12" s="425">
        <f t="shared" si="4"/>
        <v>2321.0899999999983</v>
      </c>
      <c r="T12" s="426">
        <f t="shared" si="5"/>
        <v>0.1463486759142496</v>
      </c>
      <c r="U12" s="356">
        <v>44923</v>
      </c>
      <c r="V12" s="356">
        <v>44928</v>
      </c>
      <c r="W12" s="356">
        <v>44925</v>
      </c>
      <c r="X12" s="356">
        <v>44935</v>
      </c>
      <c r="Y12" s="287"/>
      <c r="Z12" s="287"/>
      <c r="AA12" s="287" t="s">
        <v>2042</v>
      </c>
      <c r="AB12" s="287" t="s">
        <v>2031</v>
      </c>
      <c r="AC12" s="287"/>
      <c r="AD12" s="287"/>
      <c r="AE12" s="287"/>
      <c r="AF12" s="287"/>
      <c r="AG12" s="287"/>
      <c r="AH12" s="347" t="s">
        <v>8</v>
      </c>
      <c r="AI12" s="347" t="s">
        <v>2038</v>
      </c>
    </row>
    <row r="13" spans="1:35" ht="36" x14ac:dyDescent="0.25">
      <c r="A13" s="346">
        <v>16</v>
      </c>
      <c r="B13" s="344" t="s">
        <v>8</v>
      </c>
      <c r="C13" s="258" t="s">
        <v>9</v>
      </c>
      <c r="D13" s="285" t="s">
        <v>25</v>
      </c>
      <c r="E13" s="258" t="s">
        <v>1671</v>
      </c>
      <c r="F13" s="422">
        <v>10</v>
      </c>
      <c r="G13" s="386">
        <v>1200</v>
      </c>
      <c r="H13" s="386">
        <f t="shared" si="6"/>
        <v>12000</v>
      </c>
      <c r="I13" s="386">
        <f t="shared" si="7"/>
        <v>14640</v>
      </c>
      <c r="J13" s="422">
        <v>10</v>
      </c>
      <c r="K13" s="386">
        <v>1200</v>
      </c>
      <c r="L13" s="386">
        <f t="shared" ref="L13:L14" si="13">J13*K13</f>
        <v>12000</v>
      </c>
      <c r="M13" s="386">
        <f t="shared" ref="M13:M14" si="14">L13*1.22</f>
        <v>14640</v>
      </c>
      <c r="N13" s="422">
        <v>10</v>
      </c>
      <c r="O13" s="386">
        <f>P13/N13</f>
        <v>1100</v>
      </c>
      <c r="P13" s="386">
        <v>11000</v>
      </c>
      <c r="Q13" s="386">
        <f>P13*1.05</f>
        <v>11550</v>
      </c>
      <c r="R13" s="413">
        <v>2022</v>
      </c>
      <c r="S13" s="425">
        <f t="shared" si="4"/>
        <v>3090</v>
      </c>
      <c r="T13" s="426">
        <f t="shared" si="5"/>
        <v>0.21106557377049184</v>
      </c>
      <c r="U13" s="356">
        <v>44923</v>
      </c>
      <c r="V13" s="356">
        <v>44928</v>
      </c>
      <c r="W13" s="356">
        <v>44925</v>
      </c>
      <c r="X13" s="356">
        <v>44935</v>
      </c>
      <c r="Y13" s="287"/>
      <c r="Z13" s="287"/>
      <c r="AA13" s="287" t="s">
        <v>2043</v>
      </c>
      <c r="AB13" s="287" t="s">
        <v>2031</v>
      </c>
      <c r="AC13" s="287"/>
      <c r="AD13" s="287"/>
      <c r="AE13" s="287"/>
      <c r="AF13" s="287"/>
      <c r="AG13" s="287"/>
      <c r="AH13" s="347" t="s">
        <v>8</v>
      </c>
      <c r="AI13" s="347" t="s">
        <v>2038</v>
      </c>
    </row>
    <row r="14" spans="1:35" ht="24" x14ac:dyDescent="0.25">
      <c r="A14" s="346">
        <v>17</v>
      </c>
      <c r="B14" s="344" t="s">
        <v>8</v>
      </c>
      <c r="C14" s="258" t="s">
        <v>9</v>
      </c>
      <c r="D14" s="285" t="s">
        <v>25</v>
      </c>
      <c r="E14" s="258" t="s">
        <v>939</v>
      </c>
      <c r="F14" s="422">
        <v>10</v>
      </c>
      <c r="G14" s="386">
        <v>600</v>
      </c>
      <c r="H14" s="386">
        <f t="shared" si="6"/>
        <v>6000</v>
      </c>
      <c r="I14" s="386">
        <f t="shared" si="7"/>
        <v>7320</v>
      </c>
      <c r="J14" s="422">
        <v>10</v>
      </c>
      <c r="K14" s="386">
        <v>600</v>
      </c>
      <c r="L14" s="386">
        <f t="shared" si="13"/>
        <v>6000</v>
      </c>
      <c r="M14" s="386">
        <f t="shared" si="14"/>
        <v>7320</v>
      </c>
      <c r="N14" s="422">
        <v>10</v>
      </c>
      <c r="O14" s="386">
        <f>P14/N14</f>
        <v>411</v>
      </c>
      <c r="P14" s="386">
        <v>4110</v>
      </c>
      <c r="Q14" s="386">
        <f>P14*1.05</f>
        <v>4315.5</v>
      </c>
      <c r="R14" s="413">
        <v>2022</v>
      </c>
      <c r="S14" s="425">
        <f t="shared" si="4"/>
        <v>3004.5</v>
      </c>
      <c r="T14" s="426">
        <f t="shared" si="5"/>
        <v>0.41045081967213115</v>
      </c>
      <c r="U14" s="356">
        <v>44923</v>
      </c>
      <c r="V14" s="356">
        <v>44928</v>
      </c>
      <c r="W14" s="356">
        <v>44925</v>
      </c>
      <c r="X14" s="356">
        <v>44935</v>
      </c>
      <c r="Y14" s="287"/>
      <c r="Z14" s="287" t="s">
        <v>2074</v>
      </c>
      <c r="AA14" s="287" t="s">
        <v>2044</v>
      </c>
      <c r="AB14" s="287" t="s">
        <v>2031</v>
      </c>
      <c r="AC14" s="287"/>
      <c r="AD14" s="287"/>
      <c r="AE14" s="287"/>
      <c r="AF14" s="287"/>
      <c r="AG14" s="287"/>
      <c r="AH14" s="347" t="s">
        <v>8</v>
      </c>
      <c r="AI14" s="347" t="s">
        <v>2038</v>
      </c>
    </row>
    <row r="15" spans="1:35" ht="36" x14ac:dyDescent="0.25">
      <c r="A15" s="346">
        <v>18</v>
      </c>
      <c r="B15" s="344" t="s">
        <v>8</v>
      </c>
      <c r="C15" s="258" t="s">
        <v>9</v>
      </c>
      <c r="D15" s="285" t="s">
        <v>25</v>
      </c>
      <c r="E15" s="258" t="s">
        <v>1872</v>
      </c>
      <c r="F15" s="422">
        <v>10</v>
      </c>
      <c r="G15" s="386">
        <v>3600</v>
      </c>
      <c r="H15" s="386">
        <f t="shared" si="6"/>
        <v>36000</v>
      </c>
      <c r="I15" s="386">
        <f t="shared" si="7"/>
        <v>43920</v>
      </c>
      <c r="J15" s="422">
        <v>8</v>
      </c>
      <c r="K15" s="386">
        <v>3700</v>
      </c>
      <c r="L15" s="386">
        <f t="shared" ref="L15" si="15">J15*K15</f>
        <v>29600</v>
      </c>
      <c r="M15" s="386">
        <f t="shared" ref="M15" si="16">L15*1.22</f>
        <v>36112</v>
      </c>
      <c r="N15" s="422">
        <v>8</v>
      </c>
      <c r="O15" s="386">
        <v>3650</v>
      </c>
      <c r="P15" s="386">
        <f t="shared" ref="P15" si="17">N15*O15</f>
        <v>29200</v>
      </c>
      <c r="Q15" s="386">
        <f>P15*1.05</f>
        <v>30660</v>
      </c>
      <c r="R15" s="413">
        <v>2022</v>
      </c>
      <c r="S15" s="425">
        <f t="shared" si="4"/>
        <v>13260</v>
      </c>
      <c r="T15" s="426">
        <f t="shared" si="5"/>
        <v>0.15097474523704035</v>
      </c>
      <c r="U15" s="356">
        <v>44923</v>
      </c>
      <c r="V15" s="356">
        <v>44928</v>
      </c>
      <c r="W15" s="356">
        <v>44925</v>
      </c>
      <c r="X15" s="356">
        <v>44935</v>
      </c>
      <c r="Y15" s="287"/>
      <c r="Z15" s="287"/>
      <c r="AA15" s="287" t="s">
        <v>2042</v>
      </c>
      <c r="AB15" s="287" t="s">
        <v>2031</v>
      </c>
      <c r="AC15" s="287"/>
      <c r="AD15" s="287"/>
      <c r="AE15" s="287"/>
      <c r="AF15" s="287"/>
      <c r="AG15" s="287"/>
      <c r="AH15" s="347" t="s">
        <v>8</v>
      </c>
      <c r="AI15" s="347" t="s">
        <v>2038</v>
      </c>
    </row>
    <row r="16" spans="1:35" ht="36" x14ac:dyDescent="0.25">
      <c r="A16" s="346">
        <v>19</v>
      </c>
      <c r="B16" s="344" t="s">
        <v>8</v>
      </c>
      <c r="C16" s="258" t="s">
        <v>9</v>
      </c>
      <c r="D16" s="285" t="s">
        <v>25</v>
      </c>
      <c r="E16" s="258" t="s">
        <v>1864</v>
      </c>
      <c r="F16" s="422">
        <v>10</v>
      </c>
      <c r="G16" s="386">
        <v>2000</v>
      </c>
      <c r="H16" s="386">
        <f t="shared" si="6"/>
        <v>20000</v>
      </c>
      <c r="I16" s="386">
        <f t="shared" si="7"/>
        <v>24400</v>
      </c>
      <c r="J16" s="422">
        <v>0</v>
      </c>
      <c r="K16" s="386">
        <v>0</v>
      </c>
      <c r="L16" s="386">
        <v>0</v>
      </c>
      <c r="M16" s="386">
        <v>0</v>
      </c>
      <c r="N16" s="422">
        <v>0</v>
      </c>
      <c r="O16" s="386">
        <v>0</v>
      </c>
      <c r="P16" s="386">
        <v>0</v>
      </c>
      <c r="Q16" s="386">
        <v>0</v>
      </c>
      <c r="R16" s="424"/>
      <c r="S16" s="425">
        <f t="shared" ref="S16" si="18">I16-Q16</f>
        <v>24400</v>
      </c>
      <c r="T16" s="426"/>
      <c r="U16" s="287"/>
      <c r="V16" s="287"/>
      <c r="W16" s="287"/>
      <c r="X16" s="287"/>
      <c r="Y16" s="287"/>
      <c r="Z16" s="287"/>
      <c r="AA16" s="287"/>
      <c r="AB16" s="287"/>
      <c r="AC16" s="287"/>
      <c r="AD16" s="287"/>
      <c r="AE16" s="287"/>
      <c r="AF16" s="287"/>
      <c r="AG16" s="287"/>
      <c r="AH16" s="347" t="s">
        <v>8</v>
      </c>
      <c r="AI16" s="347" t="s">
        <v>1895</v>
      </c>
    </row>
    <row r="17" spans="1:35" ht="252" x14ac:dyDescent="0.25">
      <c r="A17" s="346">
        <v>20</v>
      </c>
      <c r="B17" s="344" t="s">
        <v>8</v>
      </c>
      <c r="C17" s="258" t="s">
        <v>9</v>
      </c>
      <c r="D17" s="285" t="s">
        <v>25</v>
      </c>
      <c r="E17" s="258" t="s">
        <v>1781</v>
      </c>
      <c r="F17" s="422">
        <v>1</v>
      </c>
      <c r="G17" s="386">
        <v>19000</v>
      </c>
      <c r="H17" s="386">
        <f t="shared" si="6"/>
        <v>19000</v>
      </c>
      <c r="I17" s="386">
        <f t="shared" si="7"/>
        <v>23180</v>
      </c>
      <c r="J17" s="423"/>
      <c r="K17" s="423"/>
      <c r="L17" s="423"/>
      <c r="M17" s="287"/>
      <c r="N17" s="287"/>
      <c r="O17" s="287"/>
      <c r="P17" s="287"/>
      <c r="Q17" s="287"/>
      <c r="R17" s="424"/>
      <c r="S17" s="425"/>
      <c r="T17" s="426"/>
      <c r="U17" s="287"/>
      <c r="V17" s="287"/>
      <c r="W17" s="287"/>
      <c r="X17" s="287"/>
      <c r="Y17" s="287"/>
      <c r="Z17" s="287"/>
      <c r="AA17" s="287"/>
      <c r="AB17" s="287"/>
      <c r="AC17" s="287"/>
      <c r="AD17" s="287"/>
      <c r="AE17" s="287"/>
      <c r="AF17" s="287"/>
      <c r="AG17" s="287"/>
      <c r="AH17" s="347" t="s">
        <v>8</v>
      </c>
      <c r="AI17" s="347" t="s">
        <v>1895</v>
      </c>
    </row>
    <row r="18" spans="1:35" ht="24" x14ac:dyDescent="0.25">
      <c r="A18" s="346">
        <v>23</v>
      </c>
      <c r="B18" s="344" t="s">
        <v>8</v>
      </c>
      <c r="C18" s="258" t="s">
        <v>9</v>
      </c>
      <c r="D18" s="285" t="s">
        <v>25</v>
      </c>
      <c r="E18" s="258" t="s">
        <v>1775</v>
      </c>
      <c r="F18" s="422">
        <v>5</v>
      </c>
      <c r="G18" s="386">
        <v>1330</v>
      </c>
      <c r="H18" s="386">
        <f t="shared" ref="H18:H22" si="19">F18*G18</f>
        <v>6650</v>
      </c>
      <c r="I18" s="386">
        <f t="shared" ref="I18:I22" si="20">H18*1.22</f>
        <v>8113</v>
      </c>
      <c r="J18" s="423"/>
      <c r="K18" s="423"/>
      <c r="L18" s="423"/>
      <c r="M18" s="287"/>
      <c r="N18" s="287"/>
      <c r="O18" s="287"/>
      <c r="P18" s="287"/>
      <c r="Q18" s="287"/>
      <c r="R18" s="424"/>
      <c r="S18" s="425"/>
      <c r="T18" s="426"/>
      <c r="U18" s="287"/>
      <c r="V18" s="287"/>
      <c r="W18" s="287"/>
      <c r="X18" s="287"/>
      <c r="Y18" s="287"/>
      <c r="Z18" s="287"/>
      <c r="AA18" s="287"/>
      <c r="AB18" s="287"/>
      <c r="AC18" s="287"/>
      <c r="AD18" s="287"/>
      <c r="AE18" s="287"/>
      <c r="AF18" s="287"/>
      <c r="AG18" s="287"/>
      <c r="AH18" s="347" t="s">
        <v>8</v>
      </c>
      <c r="AI18" s="347" t="s">
        <v>1895</v>
      </c>
    </row>
    <row r="19" spans="1:35" ht="24" x14ac:dyDescent="0.25">
      <c r="A19" s="346">
        <v>25</v>
      </c>
      <c r="B19" s="344" t="s">
        <v>8</v>
      </c>
      <c r="C19" s="258" t="s">
        <v>9</v>
      </c>
      <c r="D19" s="285" t="s">
        <v>25</v>
      </c>
      <c r="E19" s="258" t="s">
        <v>1782</v>
      </c>
      <c r="F19" s="422">
        <v>16</v>
      </c>
      <c r="G19" s="386">
        <v>4500</v>
      </c>
      <c r="H19" s="386">
        <f t="shared" si="19"/>
        <v>72000</v>
      </c>
      <c r="I19" s="386">
        <f t="shared" si="20"/>
        <v>87840</v>
      </c>
      <c r="J19" s="423"/>
      <c r="K19" s="423"/>
      <c r="L19" s="423"/>
      <c r="M19" s="287"/>
      <c r="N19" s="287"/>
      <c r="O19" s="287"/>
      <c r="P19" s="287"/>
      <c r="Q19" s="287"/>
      <c r="R19" s="424"/>
      <c r="S19" s="425"/>
      <c r="T19" s="426"/>
      <c r="U19" s="287"/>
      <c r="V19" s="287"/>
      <c r="W19" s="287"/>
      <c r="X19" s="287"/>
      <c r="Y19" s="287"/>
      <c r="Z19" s="287"/>
      <c r="AA19" s="287"/>
      <c r="AB19" s="287"/>
      <c r="AC19" s="287"/>
      <c r="AD19" s="287"/>
      <c r="AE19" s="287"/>
      <c r="AF19" s="287"/>
      <c r="AG19" s="287"/>
      <c r="AH19" s="347" t="s">
        <v>8</v>
      </c>
      <c r="AI19" s="347" t="s">
        <v>1895</v>
      </c>
    </row>
    <row r="20" spans="1:35" ht="48" x14ac:dyDescent="0.25">
      <c r="A20" s="346">
        <v>26</v>
      </c>
      <c r="B20" s="344" t="s">
        <v>8</v>
      </c>
      <c r="C20" s="258" t="s">
        <v>9</v>
      </c>
      <c r="D20" s="285" t="s">
        <v>25</v>
      </c>
      <c r="E20" s="258" t="s">
        <v>1873</v>
      </c>
      <c r="F20" s="422">
        <v>2</v>
      </c>
      <c r="G20" s="386">
        <v>19000</v>
      </c>
      <c r="H20" s="386">
        <f t="shared" si="19"/>
        <v>38000</v>
      </c>
      <c r="I20" s="386">
        <f t="shared" si="20"/>
        <v>46360</v>
      </c>
      <c r="J20" s="423"/>
      <c r="K20" s="423"/>
      <c r="L20" s="423"/>
      <c r="M20" s="287"/>
      <c r="N20" s="287"/>
      <c r="O20" s="287"/>
      <c r="P20" s="287"/>
      <c r="Q20" s="287"/>
      <c r="R20" s="424"/>
      <c r="S20" s="425"/>
      <c r="T20" s="426"/>
      <c r="U20" s="287"/>
      <c r="V20" s="287"/>
      <c r="W20" s="287"/>
      <c r="X20" s="287"/>
      <c r="Y20" s="287"/>
      <c r="Z20" s="287"/>
      <c r="AA20" s="287"/>
      <c r="AB20" s="287"/>
      <c r="AC20" s="287"/>
      <c r="AD20" s="287"/>
      <c r="AE20" s="287"/>
      <c r="AF20" s="287"/>
      <c r="AG20" s="287"/>
      <c r="AH20" s="347" t="s">
        <v>8</v>
      </c>
      <c r="AI20" s="347" t="s">
        <v>1895</v>
      </c>
    </row>
    <row r="21" spans="1:35" ht="24" x14ac:dyDescent="0.25">
      <c r="A21" s="346">
        <v>27</v>
      </c>
      <c r="B21" s="344" t="s">
        <v>8</v>
      </c>
      <c r="C21" s="258" t="s">
        <v>9</v>
      </c>
      <c r="D21" s="285" t="s">
        <v>25</v>
      </c>
      <c r="E21" s="285" t="s">
        <v>210</v>
      </c>
      <c r="F21" s="422">
        <v>1</v>
      </c>
      <c r="G21" s="386">
        <v>70000</v>
      </c>
      <c r="H21" s="386">
        <f t="shared" si="19"/>
        <v>70000</v>
      </c>
      <c r="I21" s="386">
        <f t="shared" si="20"/>
        <v>85400</v>
      </c>
      <c r="J21" s="423"/>
      <c r="K21" s="423"/>
      <c r="L21" s="423"/>
      <c r="M21" s="287"/>
      <c r="N21" s="287"/>
      <c r="O21" s="287"/>
      <c r="P21" s="287"/>
      <c r="Q21" s="287"/>
      <c r="R21" s="424"/>
      <c r="S21" s="425"/>
      <c r="T21" s="426"/>
      <c r="U21" s="287"/>
      <c r="V21" s="287"/>
      <c r="W21" s="287"/>
      <c r="X21" s="287"/>
      <c r="Y21" s="287"/>
      <c r="Z21" s="287"/>
      <c r="AA21" s="287"/>
      <c r="AB21" s="287"/>
      <c r="AC21" s="287"/>
      <c r="AD21" s="287"/>
      <c r="AE21" s="287"/>
      <c r="AF21" s="287"/>
      <c r="AG21" s="287"/>
      <c r="AH21" s="347" t="s">
        <v>8</v>
      </c>
      <c r="AI21" s="347" t="s">
        <v>1895</v>
      </c>
    </row>
    <row r="22" spans="1:35" ht="48" x14ac:dyDescent="0.25">
      <c r="A22" s="346">
        <v>28</v>
      </c>
      <c r="B22" s="344" t="s">
        <v>8</v>
      </c>
      <c r="C22" s="258" t="s">
        <v>9</v>
      </c>
      <c r="D22" s="285" t="s">
        <v>25</v>
      </c>
      <c r="E22" s="285" t="s">
        <v>1874</v>
      </c>
      <c r="F22" s="422">
        <v>1</v>
      </c>
      <c r="G22" s="386">
        <v>65000</v>
      </c>
      <c r="H22" s="386">
        <f t="shared" si="19"/>
        <v>65000</v>
      </c>
      <c r="I22" s="386">
        <f t="shared" si="20"/>
        <v>79300</v>
      </c>
      <c r="J22" s="422">
        <v>0</v>
      </c>
      <c r="K22" s="386">
        <v>0</v>
      </c>
      <c r="L22" s="386">
        <v>0</v>
      </c>
      <c r="M22" s="386">
        <v>0</v>
      </c>
      <c r="N22" s="287"/>
      <c r="O22" s="287"/>
      <c r="P22" s="287"/>
      <c r="Q22" s="287"/>
      <c r="R22" s="424"/>
      <c r="S22" s="425"/>
      <c r="T22" s="426"/>
      <c r="U22" s="287"/>
      <c r="V22" s="287"/>
      <c r="W22" s="287"/>
      <c r="X22" s="287"/>
      <c r="Y22" s="287"/>
      <c r="Z22" s="287"/>
      <c r="AA22" s="287"/>
      <c r="AB22" s="287"/>
      <c r="AC22" s="287"/>
      <c r="AD22" s="287"/>
      <c r="AE22" s="287"/>
      <c r="AF22" s="287"/>
      <c r="AG22" s="287"/>
      <c r="AH22" s="347" t="s">
        <v>8</v>
      </c>
      <c r="AI22" s="347" t="s">
        <v>2045</v>
      </c>
    </row>
    <row r="23" spans="1:35" x14ac:dyDescent="0.25">
      <c r="M23" s="397"/>
      <c r="N23" s="397"/>
      <c r="O23" s="397"/>
      <c r="P23" s="397"/>
      <c r="Q23" s="397"/>
      <c r="R23" s="428"/>
      <c r="S23" s="397"/>
      <c r="T23" s="397"/>
      <c r="U23" s="397"/>
      <c r="V23" s="397"/>
      <c r="W23" s="397"/>
      <c r="X23" s="397"/>
      <c r="Y23" s="397"/>
      <c r="Z23" s="397"/>
      <c r="AA23" s="397"/>
      <c r="AB23" s="397"/>
      <c r="AC23" s="397"/>
      <c r="AD23" s="397"/>
      <c r="AE23" s="397"/>
      <c r="AF23" s="397"/>
      <c r="AG23" s="397"/>
      <c r="AH23" s="397"/>
      <c r="AI23" s="352"/>
    </row>
    <row r="24" spans="1:35" x14ac:dyDescent="0.25">
      <c r="A24" s="480" t="s">
        <v>59</v>
      </c>
      <c r="B24" s="481"/>
      <c r="C24" s="481"/>
      <c r="D24" s="481"/>
      <c r="E24" s="481"/>
      <c r="F24" s="481"/>
      <c r="G24" s="482"/>
      <c r="H24" s="380">
        <f>SUM(H2:H23)</f>
        <v>821150</v>
      </c>
      <c r="I24" s="380">
        <f>SUM(I2:I23)</f>
        <v>1001803</v>
      </c>
      <c r="J24" s="480" t="s">
        <v>59</v>
      </c>
      <c r="K24" s="481"/>
      <c r="L24" s="481"/>
      <c r="M24" s="481"/>
      <c r="N24" s="481"/>
      <c r="O24" s="482"/>
      <c r="P24" s="380">
        <f>SUM(P2:P22)</f>
        <v>259324.03000000003</v>
      </c>
      <c r="Q24" s="380">
        <f>SUM(Q2:Q22)</f>
        <v>284406.5514</v>
      </c>
      <c r="S24" s="380">
        <f>SUM(S2:S22)</f>
        <v>39649.299599999998</v>
      </c>
    </row>
  </sheetData>
  <autoFilter ref="A1:AI1"/>
  <mergeCells count="2">
    <mergeCell ref="A24:G24"/>
    <mergeCell ref="J24:O24"/>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
  <sheetViews>
    <sheetView workbookViewId="0">
      <pane ySplit="1" topLeftCell="A2" activePane="bottomLeft" state="frozen"/>
      <selection pane="bottomLeft" activeCell="O2" sqref="O2"/>
    </sheetView>
  </sheetViews>
  <sheetFormatPr defaultColWidth="9" defaultRowHeight="15" x14ac:dyDescent="0.25"/>
  <cols>
    <col min="1" max="1" width="6.85546875" style="261" customWidth="1"/>
    <col min="2" max="2" width="6.140625" style="255" customWidth="1"/>
    <col min="3" max="4" width="9" style="255"/>
    <col min="5" max="5" width="13.7109375" style="255" customWidth="1"/>
    <col min="6" max="6" width="9" style="255"/>
    <col min="7" max="7" width="13.28515625" style="255" customWidth="1"/>
    <col min="8" max="8" width="11.7109375" style="255" bestFit="1" customWidth="1"/>
    <col min="9" max="9" width="13.42578125" style="255" bestFit="1" customWidth="1"/>
    <col min="10" max="10" width="9" style="255"/>
    <col min="11" max="11" width="12.7109375" style="255" bestFit="1" customWidth="1"/>
    <col min="12" max="13" width="11.5703125" style="255" bestFit="1" customWidth="1"/>
    <col min="14" max="14" width="9" style="255"/>
    <col min="15" max="15" width="15.5703125" style="255" customWidth="1"/>
    <col min="16" max="16" width="9" style="255"/>
    <col min="17" max="17" width="13" style="255" bestFit="1" customWidth="1"/>
    <col min="18" max="18" width="9" style="303"/>
    <col min="19" max="20" width="11.42578125" style="255" bestFit="1" customWidth="1"/>
    <col min="21" max="21" width="9" style="255"/>
    <col min="22" max="22" width="10.42578125" style="255" bestFit="1" customWidth="1"/>
    <col min="23" max="23" width="10.5703125" style="255" bestFit="1" customWidth="1"/>
    <col min="24" max="24" width="10.42578125" style="255" bestFit="1" customWidth="1"/>
    <col min="25" max="25" width="9" style="255"/>
    <col min="26" max="26" width="19.140625" style="255" bestFit="1" customWidth="1"/>
    <col min="27" max="27" width="9" style="255"/>
    <col min="28" max="28" width="16" style="255" bestFit="1" customWidth="1"/>
    <col min="29" max="30" width="9" style="255"/>
    <col min="31" max="31" width="9.42578125" style="255" bestFit="1" customWidth="1"/>
    <col min="32" max="16384" width="9" style="255"/>
  </cols>
  <sheetData>
    <row r="1" spans="1:35" s="170" customFormat="1" ht="37.9" customHeight="1" x14ac:dyDescent="0.25">
      <c r="A1" s="290" t="s">
        <v>0</v>
      </c>
      <c r="B1" s="66" t="s">
        <v>1</v>
      </c>
      <c r="C1" s="66" t="s">
        <v>2</v>
      </c>
      <c r="D1" s="66" t="s">
        <v>3</v>
      </c>
      <c r="E1" s="66" t="s">
        <v>4</v>
      </c>
      <c r="F1" s="66" t="s">
        <v>5</v>
      </c>
      <c r="G1" s="66" t="s">
        <v>186</v>
      </c>
      <c r="H1" s="66" t="s">
        <v>92</v>
      </c>
      <c r="I1" s="66" t="s">
        <v>61</v>
      </c>
      <c r="J1" s="66" t="s">
        <v>5</v>
      </c>
      <c r="K1" s="189" t="s">
        <v>105</v>
      </c>
      <c r="L1" s="66" t="s">
        <v>92</v>
      </c>
      <c r="M1" s="66" t="s">
        <v>61</v>
      </c>
      <c r="N1" s="66" t="s">
        <v>5</v>
      </c>
      <c r="O1" s="66" t="s">
        <v>67</v>
      </c>
      <c r="P1" s="66" t="s">
        <v>6</v>
      </c>
      <c r="Q1" s="66" t="s">
        <v>7</v>
      </c>
      <c r="R1" s="291" t="s">
        <v>313</v>
      </c>
      <c r="S1" s="66" t="s">
        <v>93</v>
      </c>
      <c r="T1" s="66" t="s">
        <v>267</v>
      </c>
      <c r="U1" s="66" t="s">
        <v>106</v>
      </c>
      <c r="V1" s="66" t="s">
        <v>107</v>
      </c>
      <c r="W1" s="66" t="s">
        <v>108</v>
      </c>
      <c r="X1" s="66" t="s">
        <v>109</v>
      </c>
      <c r="Y1" s="66" t="s">
        <v>110</v>
      </c>
      <c r="Z1" s="66" t="s">
        <v>111</v>
      </c>
      <c r="AA1" s="66" t="s">
        <v>112</v>
      </c>
      <c r="AB1" s="66" t="s">
        <v>113</v>
      </c>
      <c r="AC1" s="66" t="s">
        <v>114</v>
      </c>
      <c r="AD1" s="66" t="s">
        <v>115</v>
      </c>
      <c r="AE1" s="66" t="s">
        <v>116</v>
      </c>
      <c r="AF1" s="66" t="s">
        <v>117</v>
      </c>
      <c r="AG1" s="66" t="s">
        <v>118</v>
      </c>
      <c r="AH1" s="64" t="s">
        <v>1544</v>
      </c>
      <c r="AI1" s="64" t="s">
        <v>1540</v>
      </c>
    </row>
    <row r="2" spans="1:35" ht="24" x14ac:dyDescent="0.25">
      <c r="A2" s="302" t="s">
        <v>1792</v>
      </c>
      <c r="B2" s="281" t="s">
        <v>8</v>
      </c>
      <c r="C2" s="258" t="s">
        <v>9</v>
      </c>
      <c r="D2" s="287" t="s">
        <v>1672</v>
      </c>
      <c r="E2" s="258" t="s">
        <v>1673</v>
      </c>
      <c r="F2" s="346">
        <v>2</v>
      </c>
      <c r="G2" s="345">
        <v>65573.77</v>
      </c>
      <c r="H2" s="345">
        <f>F2*G2</f>
        <v>131147.54</v>
      </c>
      <c r="I2" s="345">
        <f>H2*1.22</f>
        <v>159999.9988</v>
      </c>
      <c r="J2" s="346">
        <v>1</v>
      </c>
      <c r="K2" s="345">
        <v>103950</v>
      </c>
      <c r="L2" s="345">
        <f>J2*K2</f>
        <v>103950</v>
      </c>
      <c r="M2" s="345">
        <f>L2*1.22</f>
        <v>126819</v>
      </c>
      <c r="N2" s="346">
        <v>1</v>
      </c>
      <c r="O2" s="345">
        <v>90920</v>
      </c>
      <c r="P2" s="345">
        <f>N2*O2</f>
        <v>90920</v>
      </c>
      <c r="Q2" s="345">
        <f>P2*1.22</f>
        <v>110922.4</v>
      </c>
      <c r="R2" s="379">
        <v>2021</v>
      </c>
      <c r="S2" s="386">
        <f>I2-Q2</f>
        <v>49077.598800000007</v>
      </c>
      <c r="T2" s="416">
        <f>1-Q2/M2</f>
        <v>0.12534872534872543</v>
      </c>
      <c r="U2" s="379">
        <v>2021</v>
      </c>
      <c r="V2" s="355">
        <v>44247</v>
      </c>
      <c r="W2" s="355">
        <v>44257</v>
      </c>
      <c r="X2" s="355">
        <v>44326</v>
      </c>
      <c r="Y2" s="378" t="s">
        <v>1885</v>
      </c>
      <c r="Z2" s="366" t="s">
        <v>1886</v>
      </c>
      <c r="AA2" s="192" t="s">
        <v>1887</v>
      </c>
      <c r="AB2" s="378" t="s">
        <v>1885</v>
      </c>
      <c r="AC2" s="350">
        <v>44375</v>
      </c>
      <c r="AD2" s="350">
        <v>44455</v>
      </c>
      <c r="AE2" s="192" t="s">
        <v>1888</v>
      </c>
      <c r="AF2" s="297"/>
      <c r="AG2" s="366" t="s">
        <v>1889</v>
      </c>
      <c r="AH2" s="192" t="s">
        <v>8</v>
      </c>
      <c r="AI2" s="192" t="s">
        <v>1541</v>
      </c>
    </row>
  </sheetData>
  <autoFilter ref="A1:AI2"/>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6"/>
  <sheetViews>
    <sheetView topLeftCell="J1" workbookViewId="0">
      <pane ySplit="1" topLeftCell="A2" activePane="bottomLeft" state="frozen"/>
      <selection pane="bottomLeft" activeCell="U6" sqref="U6"/>
    </sheetView>
  </sheetViews>
  <sheetFormatPr defaultColWidth="8.85546875" defaultRowHeight="12" x14ac:dyDescent="0.2"/>
  <cols>
    <col min="1" max="1" width="4" style="308" bestFit="1" customWidth="1"/>
    <col min="2" max="2" width="6.28515625" style="308" customWidth="1"/>
    <col min="3" max="3" width="23" style="308" customWidth="1"/>
    <col min="4" max="4" width="28.5703125" style="308" customWidth="1"/>
    <col min="5" max="5" width="35.7109375" style="308" customWidth="1"/>
    <col min="6" max="6" width="6.140625" style="308" customWidth="1"/>
    <col min="7" max="7" width="12.140625" style="313" customWidth="1"/>
    <col min="8" max="9" width="15.42578125" style="313" bestFit="1" customWidth="1"/>
    <col min="10" max="14" width="8.85546875" style="308"/>
    <col min="15" max="15" width="9.85546875" style="331" bestFit="1" customWidth="1"/>
    <col min="16" max="17" width="10" style="308" bestFit="1" customWidth="1"/>
    <col min="18" max="18" width="8.85546875" style="308"/>
    <col min="19" max="19" width="10" style="308" bestFit="1" customWidth="1"/>
    <col min="20" max="20" width="18.28515625" style="308" customWidth="1"/>
    <col min="21" max="25" width="8.85546875" style="308"/>
    <col min="26" max="26" width="15.140625" style="334" customWidth="1"/>
    <col min="27" max="27" width="26.28515625" style="308" customWidth="1"/>
    <col min="28" max="30" width="8.85546875" style="308"/>
    <col min="31" max="31" width="8.28515625" style="308" customWidth="1"/>
    <col min="32" max="16384" width="8.85546875" style="308"/>
  </cols>
  <sheetData>
    <row r="1" spans="1:35" ht="72" x14ac:dyDescent="0.2">
      <c r="A1" s="309" t="s">
        <v>0</v>
      </c>
      <c r="B1" s="310" t="s">
        <v>1</v>
      </c>
      <c r="C1" s="310" t="s">
        <v>2</v>
      </c>
      <c r="D1" s="310" t="s">
        <v>3</v>
      </c>
      <c r="E1" s="310" t="s">
        <v>4</v>
      </c>
      <c r="F1" s="310" t="s">
        <v>5</v>
      </c>
      <c r="G1" s="311" t="s">
        <v>186</v>
      </c>
      <c r="H1" s="311" t="s">
        <v>92</v>
      </c>
      <c r="I1" s="311" t="s">
        <v>61</v>
      </c>
      <c r="J1" s="66" t="s">
        <v>5</v>
      </c>
      <c r="K1" s="189" t="s">
        <v>105</v>
      </c>
      <c r="L1" s="66" t="s">
        <v>92</v>
      </c>
      <c r="M1" s="66" t="s">
        <v>61</v>
      </c>
      <c r="N1" s="66" t="s">
        <v>5</v>
      </c>
      <c r="O1" s="332" t="s">
        <v>67</v>
      </c>
      <c r="P1" s="66" t="s">
        <v>6</v>
      </c>
      <c r="Q1" s="66" t="s">
        <v>7</v>
      </c>
      <c r="R1" s="291" t="s">
        <v>313</v>
      </c>
      <c r="S1" s="66" t="s">
        <v>93</v>
      </c>
      <c r="T1" s="66" t="s">
        <v>267</v>
      </c>
      <c r="U1" s="66" t="s">
        <v>106</v>
      </c>
      <c r="V1" s="66" t="s">
        <v>107</v>
      </c>
      <c r="W1" s="66" t="s">
        <v>108</v>
      </c>
      <c r="X1" s="66" t="s">
        <v>109</v>
      </c>
      <c r="Y1" s="66" t="s">
        <v>110</v>
      </c>
      <c r="Z1" s="290" t="s">
        <v>111</v>
      </c>
      <c r="AA1" s="66" t="s">
        <v>112</v>
      </c>
      <c r="AB1" s="66" t="s">
        <v>113</v>
      </c>
      <c r="AC1" s="66" t="s">
        <v>114</v>
      </c>
      <c r="AD1" s="66" t="s">
        <v>115</v>
      </c>
      <c r="AE1" s="66" t="s">
        <v>116</v>
      </c>
      <c r="AF1" s="66" t="s">
        <v>117</v>
      </c>
      <c r="AG1" s="66" t="s">
        <v>118</v>
      </c>
      <c r="AH1" s="64" t="s">
        <v>1544</v>
      </c>
      <c r="AI1" s="64" t="s">
        <v>1540</v>
      </c>
    </row>
    <row r="2" spans="1:35" ht="15" customHeight="1" x14ac:dyDescent="0.2">
      <c r="A2" s="304">
        <v>1</v>
      </c>
      <c r="B2" s="304" t="s">
        <v>8</v>
      </c>
      <c r="C2" s="258" t="s">
        <v>925</v>
      </c>
      <c r="D2" s="285" t="s">
        <v>39</v>
      </c>
      <c r="E2" s="285" t="s">
        <v>1712</v>
      </c>
      <c r="F2" s="306">
        <v>2</v>
      </c>
      <c r="G2" s="305">
        <v>665983.60800000001</v>
      </c>
      <c r="H2" s="325">
        <f t="shared" ref="H2:H15" si="0">F2*G2</f>
        <v>1331967.216</v>
      </c>
      <c r="I2" s="325">
        <f t="shared" ref="I2:I15" si="1">H2*1.22</f>
        <v>1625000.00352</v>
      </c>
      <c r="J2" s="330"/>
      <c r="K2" s="330"/>
      <c r="L2" s="330"/>
      <c r="M2" s="330"/>
      <c r="N2" s="330"/>
      <c r="O2" s="333"/>
      <c r="P2" s="330"/>
      <c r="Q2" s="330"/>
      <c r="R2" s="330"/>
      <c r="S2" s="330"/>
      <c r="T2" s="330" t="e">
        <f>1-Q2/M2</f>
        <v>#DIV/0!</v>
      </c>
      <c r="U2" s="330"/>
      <c r="V2" s="330"/>
      <c r="W2" s="330"/>
      <c r="X2" s="330"/>
      <c r="Y2" s="330"/>
      <c r="Z2" s="335"/>
      <c r="AA2" s="330"/>
      <c r="AB2" s="330"/>
      <c r="AC2" s="330"/>
      <c r="AD2" s="330"/>
      <c r="AE2" s="330"/>
      <c r="AF2" s="330"/>
      <c r="AG2" s="330"/>
      <c r="AH2" s="330" t="s">
        <v>8</v>
      </c>
      <c r="AI2" s="330" t="s">
        <v>1895</v>
      </c>
    </row>
    <row r="3" spans="1:35" ht="60" x14ac:dyDescent="0.2">
      <c r="A3" s="304">
        <v>2</v>
      </c>
      <c r="B3" s="304" t="s">
        <v>8</v>
      </c>
      <c r="C3" s="258" t="s">
        <v>925</v>
      </c>
      <c r="D3" s="285" t="s">
        <v>39</v>
      </c>
      <c r="E3" s="258" t="s">
        <v>1713</v>
      </c>
      <c r="F3" s="304">
        <v>2</v>
      </c>
      <c r="G3" s="305">
        <v>747950.82</v>
      </c>
      <c r="H3" s="89">
        <f t="shared" si="0"/>
        <v>1495901.64</v>
      </c>
      <c r="I3" s="89">
        <f t="shared" si="1"/>
        <v>1825000.0007999998</v>
      </c>
      <c r="J3" s="330"/>
      <c r="K3" s="330"/>
      <c r="L3" s="330"/>
      <c r="M3" s="330"/>
      <c r="N3" s="330"/>
      <c r="O3" s="333"/>
      <c r="P3" s="330"/>
      <c r="Q3" s="330"/>
      <c r="R3" s="330"/>
      <c r="S3" s="330"/>
      <c r="T3" s="330" t="e">
        <f t="shared" ref="T3:T15" si="2">1-Q3/M3</f>
        <v>#DIV/0!</v>
      </c>
      <c r="U3" s="330"/>
      <c r="V3" s="330"/>
      <c r="W3" s="330"/>
      <c r="X3" s="330"/>
      <c r="Y3" s="330"/>
      <c r="Z3" s="335" t="s">
        <v>2097</v>
      </c>
      <c r="AA3" s="330" t="s">
        <v>2096</v>
      </c>
      <c r="AB3" s="330"/>
      <c r="AC3" s="330"/>
      <c r="AD3" s="330"/>
      <c r="AE3" s="330"/>
      <c r="AF3" s="330"/>
      <c r="AG3" s="330"/>
      <c r="AH3" s="330" t="s">
        <v>8</v>
      </c>
      <c r="AI3" s="330" t="s">
        <v>1895</v>
      </c>
    </row>
    <row r="4" spans="1:35" ht="40.700000000000003" customHeight="1" x14ac:dyDescent="0.2">
      <c r="A4" s="304">
        <v>3</v>
      </c>
      <c r="B4" s="304" t="s">
        <v>8</v>
      </c>
      <c r="C4" s="258" t="s">
        <v>925</v>
      </c>
      <c r="D4" s="285" t="s">
        <v>44</v>
      </c>
      <c r="E4" s="258" t="s">
        <v>1723</v>
      </c>
      <c r="F4" s="304">
        <v>3</v>
      </c>
      <c r="G4" s="305">
        <v>163934.42499999999</v>
      </c>
      <c r="H4" s="89">
        <f t="shared" ref="H4" si="3">F4*G4</f>
        <v>491803.27499999997</v>
      </c>
      <c r="I4" s="89">
        <f t="shared" si="1"/>
        <v>599999.99549999996</v>
      </c>
      <c r="J4" s="192"/>
      <c r="K4" s="330"/>
      <c r="L4" s="330"/>
      <c r="M4" s="330"/>
      <c r="N4" s="330">
        <v>3</v>
      </c>
      <c r="O4" s="333">
        <v>102000</v>
      </c>
      <c r="P4" s="333">
        <v>306000</v>
      </c>
      <c r="Q4" s="333">
        <v>387960</v>
      </c>
      <c r="R4" s="330">
        <v>2023</v>
      </c>
      <c r="S4" s="330"/>
      <c r="T4" s="330" t="e">
        <f t="shared" si="2"/>
        <v>#DIV/0!</v>
      </c>
      <c r="U4" s="330">
        <v>2022</v>
      </c>
      <c r="V4" s="330"/>
      <c r="W4" s="330"/>
      <c r="X4" s="330"/>
      <c r="Y4" s="330"/>
      <c r="Z4" s="335" t="s">
        <v>2089</v>
      </c>
      <c r="AA4" s="330" t="s">
        <v>2090</v>
      </c>
      <c r="AB4" s="330"/>
      <c r="AC4" s="330"/>
      <c r="AD4" s="330"/>
      <c r="AE4" s="330"/>
      <c r="AF4" s="330"/>
      <c r="AG4" s="330"/>
      <c r="AH4" s="330" t="s">
        <v>8</v>
      </c>
      <c r="AI4" s="330" t="s">
        <v>1895</v>
      </c>
    </row>
    <row r="5" spans="1:35" ht="144" x14ac:dyDescent="0.2">
      <c r="A5" s="304" t="s">
        <v>1258</v>
      </c>
      <c r="B5" s="304" t="s">
        <v>8</v>
      </c>
      <c r="C5" s="258" t="s">
        <v>925</v>
      </c>
      <c r="D5" s="258" t="s">
        <v>1789</v>
      </c>
      <c r="E5" s="285" t="s">
        <v>1714</v>
      </c>
      <c r="F5" s="306">
        <v>3</v>
      </c>
      <c r="G5" s="305">
        <v>50209.67</v>
      </c>
      <c r="H5" s="325">
        <f t="shared" si="0"/>
        <v>150629.01</v>
      </c>
      <c r="I5" s="325">
        <f t="shared" si="1"/>
        <v>183767.3922</v>
      </c>
      <c r="J5" s="330"/>
      <c r="K5" s="330"/>
      <c r="L5" s="330"/>
      <c r="M5" s="330"/>
      <c r="N5" s="330">
        <v>3</v>
      </c>
      <c r="O5" s="333">
        <f>P5/N5</f>
        <v>30813.333333333332</v>
      </c>
      <c r="P5" s="333">
        <v>92440</v>
      </c>
      <c r="Q5" s="333">
        <f>P5*1.05</f>
        <v>97062</v>
      </c>
      <c r="R5" s="330">
        <v>2022</v>
      </c>
      <c r="S5" s="333">
        <f t="shared" ref="S5:S13" si="4">I5-Q5</f>
        <v>86705.392200000002</v>
      </c>
      <c r="T5" s="330" t="e">
        <f t="shared" si="2"/>
        <v>#DIV/0!</v>
      </c>
      <c r="U5" s="330">
        <v>2022</v>
      </c>
      <c r="V5" s="330"/>
      <c r="W5" s="330"/>
      <c r="X5" s="330"/>
      <c r="Y5" s="330"/>
      <c r="Z5" s="335" t="s">
        <v>1904</v>
      </c>
      <c r="AA5" s="330" t="s">
        <v>1890</v>
      </c>
      <c r="AB5" s="330" t="s">
        <v>1923</v>
      </c>
      <c r="AC5" s="391">
        <v>44855</v>
      </c>
      <c r="AD5" s="391">
        <v>44858</v>
      </c>
      <c r="AE5" s="330" t="s">
        <v>2072</v>
      </c>
      <c r="AF5" s="330"/>
      <c r="AG5" s="330"/>
      <c r="AH5" s="330" t="s">
        <v>8</v>
      </c>
      <c r="AI5" s="330" t="s">
        <v>1900</v>
      </c>
    </row>
    <row r="6" spans="1:35" ht="120" x14ac:dyDescent="0.2">
      <c r="A6" s="328" t="s">
        <v>1259</v>
      </c>
      <c r="B6" s="328" t="s">
        <v>8</v>
      </c>
      <c r="C6" s="258" t="s">
        <v>925</v>
      </c>
      <c r="D6" s="258" t="s">
        <v>1791</v>
      </c>
      <c r="E6" s="285" t="s">
        <v>1714</v>
      </c>
      <c r="F6" s="326">
        <v>2</v>
      </c>
      <c r="G6" s="327">
        <v>50209.67</v>
      </c>
      <c r="H6" s="327">
        <f t="shared" ref="H6:H7" si="5">F6*G6</f>
        <v>100419.34</v>
      </c>
      <c r="I6" s="327">
        <f t="shared" ref="I6:I7" si="6">H6*1.22</f>
        <v>122511.59479999999</v>
      </c>
      <c r="J6" s="330"/>
      <c r="K6" s="330"/>
      <c r="L6" s="330"/>
      <c r="M6" s="330"/>
      <c r="N6" s="330">
        <v>2</v>
      </c>
      <c r="O6" s="333">
        <f>P6/N6</f>
        <v>24135</v>
      </c>
      <c r="P6" s="333">
        <v>48270</v>
      </c>
      <c r="Q6" s="333">
        <f t="shared" ref="Q6:Q8" si="7">P6*1.05</f>
        <v>50683.5</v>
      </c>
      <c r="R6" s="330">
        <v>2022</v>
      </c>
      <c r="S6" s="333">
        <f t="shared" si="4"/>
        <v>71828.094799999992</v>
      </c>
      <c r="T6" s="330" t="e">
        <f t="shared" si="2"/>
        <v>#DIV/0!</v>
      </c>
      <c r="U6" s="330">
        <v>2022</v>
      </c>
      <c r="V6" s="330"/>
      <c r="W6" s="330"/>
      <c r="X6" s="330"/>
      <c r="Y6" s="330"/>
      <c r="Z6" s="335" t="s">
        <v>1893</v>
      </c>
      <c r="AA6" s="330" t="s">
        <v>1790</v>
      </c>
      <c r="AB6" s="330" t="s">
        <v>1923</v>
      </c>
      <c r="AC6" s="391">
        <v>44837</v>
      </c>
      <c r="AD6" s="335" t="s">
        <v>1917</v>
      </c>
      <c r="AE6" s="330" t="s">
        <v>2076</v>
      </c>
      <c r="AF6" s="330"/>
      <c r="AG6" s="330"/>
      <c r="AH6" s="330" t="s">
        <v>8</v>
      </c>
      <c r="AI6" s="330" t="s">
        <v>1900</v>
      </c>
    </row>
    <row r="7" spans="1:35" ht="108" x14ac:dyDescent="0.2">
      <c r="A7" s="328" t="s">
        <v>1785</v>
      </c>
      <c r="B7" s="328" t="s">
        <v>8</v>
      </c>
      <c r="C7" s="258" t="s">
        <v>925</v>
      </c>
      <c r="D7" s="258" t="s">
        <v>1788</v>
      </c>
      <c r="E7" s="285" t="s">
        <v>1714</v>
      </c>
      <c r="F7" s="326">
        <v>1</v>
      </c>
      <c r="G7" s="327">
        <v>50209.67</v>
      </c>
      <c r="H7" s="327">
        <f t="shared" si="5"/>
        <v>50209.67</v>
      </c>
      <c r="I7" s="327">
        <f t="shared" si="6"/>
        <v>61255.797399999996</v>
      </c>
      <c r="J7" s="330"/>
      <c r="K7" s="330"/>
      <c r="L7" s="330"/>
      <c r="M7" s="330"/>
      <c r="N7" s="330">
        <v>1</v>
      </c>
      <c r="O7" s="333">
        <v>65713.62</v>
      </c>
      <c r="P7" s="333">
        <f t="shared" ref="P7:P15" si="8">N7*O7</f>
        <v>65713.62</v>
      </c>
      <c r="Q7" s="333">
        <f t="shared" si="7"/>
        <v>68999.300999999992</v>
      </c>
      <c r="R7" s="330">
        <v>2022</v>
      </c>
      <c r="S7" s="333">
        <f t="shared" si="4"/>
        <v>-7743.5035999999964</v>
      </c>
      <c r="T7" s="330" t="e">
        <f t="shared" si="2"/>
        <v>#DIV/0!</v>
      </c>
      <c r="U7" s="330">
        <v>2022</v>
      </c>
      <c r="V7" s="330"/>
      <c r="W7" s="330"/>
      <c r="X7" s="330"/>
      <c r="Y7" s="330"/>
      <c r="Z7" s="335" t="s">
        <v>1903</v>
      </c>
      <c r="AA7" s="330" t="s">
        <v>1786</v>
      </c>
      <c r="AB7" s="330" t="s">
        <v>1923</v>
      </c>
      <c r="AC7" s="330"/>
      <c r="AD7" s="350">
        <v>44945</v>
      </c>
      <c r="AE7" s="330"/>
      <c r="AF7" s="330"/>
      <c r="AG7" s="330"/>
      <c r="AH7" s="330" t="s">
        <v>8</v>
      </c>
      <c r="AI7" s="330" t="s">
        <v>1900</v>
      </c>
    </row>
    <row r="8" spans="1:35" ht="132" x14ac:dyDescent="0.2">
      <c r="A8" s="304">
        <v>5</v>
      </c>
      <c r="B8" s="304" t="s">
        <v>8</v>
      </c>
      <c r="C8" s="258" t="s">
        <v>925</v>
      </c>
      <c r="D8" s="258" t="s">
        <v>1716</v>
      </c>
      <c r="E8" s="285" t="s">
        <v>1715</v>
      </c>
      <c r="F8" s="304">
        <v>3</v>
      </c>
      <c r="G8" s="305">
        <v>50000</v>
      </c>
      <c r="H8" s="89">
        <f t="shared" si="0"/>
        <v>150000</v>
      </c>
      <c r="I8" s="89">
        <f t="shared" si="1"/>
        <v>183000</v>
      </c>
      <c r="J8" s="330"/>
      <c r="K8" s="330"/>
      <c r="L8" s="330"/>
      <c r="M8" s="330"/>
      <c r="N8" s="330">
        <v>3</v>
      </c>
      <c r="O8" s="333">
        <v>24321</v>
      </c>
      <c r="P8" s="333">
        <f t="shared" si="8"/>
        <v>72963</v>
      </c>
      <c r="Q8" s="333">
        <f t="shared" si="7"/>
        <v>76611.150000000009</v>
      </c>
      <c r="R8" s="330">
        <v>2022</v>
      </c>
      <c r="S8" s="333">
        <f t="shared" si="4"/>
        <v>106388.84999999999</v>
      </c>
      <c r="T8" s="330" t="e">
        <f t="shared" ref="T8" si="9">1-Q8/M8</f>
        <v>#DIV/0!</v>
      </c>
      <c r="U8" s="330">
        <v>2022</v>
      </c>
      <c r="V8" s="330"/>
      <c r="W8" s="330"/>
      <c r="X8" s="330"/>
      <c r="Y8" s="330"/>
      <c r="Z8" s="335" t="s">
        <v>1906</v>
      </c>
      <c r="AA8" s="330" t="s">
        <v>1892</v>
      </c>
      <c r="AB8" s="330" t="s">
        <v>1923</v>
      </c>
      <c r="AC8" s="330"/>
      <c r="AD8" s="330"/>
      <c r="AE8" s="330"/>
      <c r="AF8" s="330"/>
      <c r="AG8" s="330"/>
      <c r="AH8" s="330" t="s">
        <v>8</v>
      </c>
      <c r="AI8" s="330" t="s">
        <v>1900</v>
      </c>
    </row>
    <row r="9" spans="1:35" ht="120" x14ac:dyDescent="0.2">
      <c r="A9" s="304">
        <v>6</v>
      </c>
      <c r="B9" s="304" t="s">
        <v>8</v>
      </c>
      <c r="C9" s="258" t="s">
        <v>1628</v>
      </c>
      <c r="D9" s="285" t="s">
        <v>196</v>
      </c>
      <c r="E9" s="285" t="s">
        <v>1787</v>
      </c>
      <c r="F9" s="306">
        <v>1</v>
      </c>
      <c r="G9" s="305">
        <v>98360.656000000003</v>
      </c>
      <c r="H9" s="325">
        <f t="shared" si="0"/>
        <v>98360.656000000003</v>
      </c>
      <c r="I9" s="325">
        <f t="shared" si="1"/>
        <v>120000.00032000001</v>
      </c>
      <c r="J9" s="330"/>
      <c r="K9" s="330"/>
      <c r="L9" s="330"/>
      <c r="M9" s="330"/>
      <c r="N9" s="330">
        <v>1</v>
      </c>
      <c r="O9" s="333">
        <f>49000+321+13500</f>
        <v>62821</v>
      </c>
      <c r="P9" s="333">
        <f t="shared" si="8"/>
        <v>62821</v>
      </c>
      <c r="Q9" s="333">
        <f>P9*1.05</f>
        <v>65962.05</v>
      </c>
      <c r="R9" s="330">
        <v>2022</v>
      </c>
      <c r="S9" s="333">
        <f t="shared" si="4"/>
        <v>54037.950320000004</v>
      </c>
      <c r="T9" s="330" t="e">
        <f t="shared" si="2"/>
        <v>#DIV/0!</v>
      </c>
      <c r="U9" s="330">
        <v>2022</v>
      </c>
      <c r="V9" s="330"/>
      <c r="W9" s="330"/>
      <c r="X9" s="330"/>
      <c r="Y9" s="330"/>
      <c r="Z9" s="335" t="s">
        <v>1905</v>
      </c>
      <c r="AA9" s="330" t="s">
        <v>1784</v>
      </c>
      <c r="AB9" s="330" t="s">
        <v>1923</v>
      </c>
      <c r="AC9" s="391">
        <v>44958</v>
      </c>
      <c r="AD9" s="391">
        <v>44979</v>
      </c>
      <c r="AE9" s="330"/>
      <c r="AF9" s="330"/>
      <c r="AG9" s="330"/>
      <c r="AH9" s="330" t="s">
        <v>8</v>
      </c>
      <c r="AI9" s="330" t="s">
        <v>1900</v>
      </c>
    </row>
    <row r="10" spans="1:35" ht="120" x14ac:dyDescent="0.2">
      <c r="A10" s="304">
        <v>7</v>
      </c>
      <c r="B10" s="304" t="s">
        <v>8</v>
      </c>
      <c r="C10" s="258" t="s">
        <v>925</v>
      </c>
      <c r="D10" s="285" t="s">
        <v>1717</v>
      </c>
      <c r="E10" s="285" t="s">
        <v>1718</v>
      </c>
      <c r="F10" s="306">
        <v>2</v>
      </c>
      <c r="G10" s="305">
        <v>98360.656000000003</v>
      </c>
      <c r="H10" s="325">
        <f t="shared" si="0"/>
        <v>196721.31200000001</v>
      </c>
      <c r="I10" s="325">
        <f t="shared" si="1"/>
        <v>240000.00064000001</v>
      </c>
      <c r="J10" s="330"/>
      <c r="K10" s="330"/>
      <c r="L10" s="330"/>
      <c r="M10" s="330"/>
      <c r="N10" s="330">
        <v>2</v>
      </c>
      <c r="O10" s="333">
        <v>34733</v>
      </c>
      <c r="P10" s="333">
        <f t="shared" si="8"/>
        <v>69466</v>
      </c>
      <c r="Q10" s="333">
        <f>P10*1.05</f>
        <v>72939.3</v>
      </c>
      <c r="R10" s="330">
        <v>2022</v>
      </c>
      <c r="S10" s="333">
        <f t="shared" si="4"/>
        <v>167060.70064</v>
      </c>
      <c r="T10" s="330" t="e">
        <f t="shared" si="2"/>
        <v>#DIV/0!</v>
      </c>
      <c r="U10" s="330">
        <v>2022</v>
      </c>
      <c r="V10" s="330"/>
      <c r="W10" s="330"/>
      <c r="X10" s="330"/>
      <c r="Y10" s="330"/>
      <c r="Z10" s="335" t="s">
        <v>1907</v>
      </c>
      <c r="AA10" s="330" t="s">
        <v>1894</v>
      </c>
      <c r="AB10" s="330" t="s">
        <v>1923</v>
      </c>
      <c r="AC10" s="391">
        <v>44860</v>
      </c>
      <c r="AD10" s="391">
        <v>44860</v>
      </c>
      <c r="AE10" s="330" t="s">
        <v>2077</v>
      </c>
      <c r="AF10" s="330"/>
      <c r="AG10" s="330"/>
      <c r="AH10" s="330" t="s">
        <v>8</v>
      </c>
      <c r="AI10" s="330" t="s">
        <v>1900</v>
      </c>
    </row>
    <row r="11" spans="1:35" ht="36" x14ac:dyDescent="0.2">
      <c r="A11" s="304">
        <v>8</v>
      </c>
      <c r="B11" s="304" t="s">
        <v>8</v>
      </c>
      <c r="C11" s="258" t="s">
        <v>925</v>
      </c>
      <c r="D11" s="285" t="s">
        <v>1720</v>
      </c>
      <c r="E11" s="285" t="s">
        <v>1719</v>
      </c>
      <c r="F11" s="306">
        <v>2</v>
      </c>
      <c r="G11" s="305">
        <v>204918.03200000001</v>
      </c>
      <c r="H11" s="325">
        <f t="shared" si="0"/>
        <v>409836.06400000001</v>
      </c>
      <c r="I11" s="325">
        <f t="shared" si="1"/>
        <v>499999.99807999999</v>
      </c>
      <c r="J11" s="330"/>
      <c r="K11" s="330"/>
      <c r="L11" s="330"/>
      <c r="M11" s="330"/>
      <c r="N11" s="330">
        <v>2</v>
      </c>
      <c r="O11" s="333">
        <v>183000</v>
      </c>
      <c r="P11" s="333">
        <f t="shared" si="8"/>
        <v>366000</v>
      </c>
      <c r="Q11" s="333">
        <f>P11*1.05</f>
        <v>384300</v>
      </c>
      <c r="R11" s="330">
        <v>2022</v>
      </c>
      <c r="S11" s="333">
        <f t="shared" si="4"/>
        <v>115699.99807999999</v>
      </c>
      <c r="T11" s="330" t="e">
        <f t="shared" si="2"/>
        <v>#DIV/0!</v>
      </c>
      <c r="U11" s="330">
        <v>2022</v>
      </c>
      <c r="V11" s="330"/>
      <c r="W11" s="330"/>
      <c r="X11" s="330"/>
      <c r="Y11" s="330"/>
      <c r="Z11" s="335" t="s">
        <v>2056</v>
      </c>
      <c r="AA11" s="431">
        <v>9604630768</v>
      </c>
      <c r="AB11" s="330" t="s">
        <v>2073</v>
      </c>
      <c r="AC11" s="330"/>
      <c r="AD11" s="330"/>
      <c r="AE11" s="330"/>
      <c r="AF11" s="330"/>
      <c r="AG11" s="330"/>
      <c r="AH11" s="330" t="s">
        <v>8</v>
      </c>
      <c r="AI11" s="330" t="s">
        <v>1895</v>
      </c>
    </row>
    <row r="12" spans="1:35" ht="36" x14ac:dyDescent="0.2">
      <c r="A12" s="304" t="s">
        <v>2047</v>
      </c>
      <c r="B12" s="304" t="s">
        <v>8</v>
      </c>
      <c r="C12" s="258" t="s">
        <v>9</v>
      </c>
      <c r="D12" s="285" t="s">
        <v>39</v>
      </c>
      <c r="E12" s="258" t="s">
        <v>1721</v>
      </c>
      <c r="F12" s="304">
        <v>1</v>
      </c>
      <c r="G12" s="305">
        <v>204918.03200000001</v>
      </c>
      <c r="H12" s="89">
        <f t="shared" si="0"/>
        <v>204918.03200000001</v>
      </c>
      <c r="I12" s="89">
        <f t="shared" si="1"/>
        <v>249999.99904</v>
      </c>
      <c r="J12" s="330"/>
      <c r="K12" s="330"/>
      <c r="L12" s="330"/>
      <c r="M12" s="330"/>
      <c r="N12" s="330">
        <v>1</v>
      </c>
      <c r="O12" s="333">
        <v>137700</v>
      </c>
      <c r="P12" s="333">
        <f t="shared" si="8"/>
        <v>137700</v>
      </c>
      <c r="Q12" s="333">
        <f>P12*1.05</f>
        <v>144585</v>
      </c>
      <c r="R12" s="330">
        <v>2022</v>
      </c>
      <c r="S12" s="333">
        <f t="shared" si="4"/>
        <v>105414.99904</v>
      </c>
      <c r="T12" s="330" t="e">
        <f t="shared" si="2"/>
        <v>#DIV/0!</v>
      </c>
      <c r="U12" s="330">
        <v>2022</v>
      </c>
      <c r="V12" s="330"/>
      <c r="W12" s="330"/>
      <c r="X12" s="330"/>
      <c r="Y12" s="330"/>
      <c r="Z12" s="335" t="s">
        <v>2095</v>
      </c>
      <c r="AA12" s="431">
        <v>9869145418</v>
      </c>
      <c r="AB12" s="330"/>
      <c r="AC12" s="330"/>
      <c r="AD12" s="330"/>
      <c r="AE12" s="330"/>
      <c r="AF12" s="330"/>
      <c r="AG12" s="330"/>
      <c r="AH12" s="330" t="s">
        <v>8</v>
      </c>
      <c r="AI12" s="330" t="s">
        <v>1895</v>
      </c>
    </row>
    <row r="13" spans="1:35" ht="60" x14ac:dyDescent="0.2">
      <c r="A13" s="408" t="s">
        <v>2048</v>
      </c>
      <c r="B13" s="408" t="s">
        <v>8</v>
      </c>
      <c r="C13" s="258" t="s">
        <v>62</v>
      </c>
      <c r="D13" s="285" t="s">
        <v>39</v>
      </c>
      <c r="E13" s="258" t="s">
        <v>1721</v>
      </c>
      <c r="F13" s="408">
        <v>1</v>
      </c>
      <c r="G13" s="386">
        <v>204918.03200000001</v>
      </c>
      <c r="H13" s="89">
        <f t="shared" ref="H13:H14" si="10">F13*G13</f>
        <v>204918.03200000001</v>
      </c>
      <c r="I13" s="89">
        <f t="shared" ref="I13:I14" si="11">H13*1.22</f>
        <v>249999.99904</v>
      </c>
      <c r="J13" s="330"/>
      <c r="K13" s="330"/>
      <c r="L13" s="330"/>
      <c r="M13" s="330"/>
      <c r="N13" s="330">
        <v>1</v>
      </c>
      <c r="O13" s="333">
        <v>146600</v>
      </c>
      <c r="P13" s="333">
        <f t="shared" si="8"/>
        <v>146600</v>
      </c>
      <c r="Q13" s="333">
        <f>O13*1.22</f>
        <v>178852</v>
      </c>
      <c r="R13" s="330">
        <v>2022</v>
      </c>
      <c r="S13" s="333">
        <f t="shared" si="4"/>
        <v>71147.999039999995</v>
      </c>
      <c r="T13" s="330" t="e">
        <f t="shared" ref="T13:T14" si="12">1-Q13/M13</f>
        <v>#DIV/0!</v>
      </c>
      <c r="U13" s="330">
        <v>2022</v>
      </c>
      <c r="V13" s="330"/>
      <c r="W13" s="330"/>
      <c r="X13" s="330"/>
      <c r="Y13" s="330"/>
      <c r="Z13" s="335" t="s">
        <v>2079</v>
      </c>
      <c r="AA13" s="330" t="s">
        <v>2051</v>
      </c>
      <c r="AB13" s="330" t="s">
        <v>2073</v>
      </c>
      <c r="AC13" s="330"/>
      <c r="AD13" s="330"/>
      <c r="AE13" s="330"/>
      <c r="AF13" s="330"/>
      <c r="AG13" s="330"/>
      <c r="AH13" s="330" t="s">
        <v>8</v>
      </c>
      <c r="AI13" s="330" t="s">
        <v>1895</v>
      </c>
    </row>
    <row r="14" spans="1:35" ht="60" x14ac:dyDescent="0.2">
      <c r="A14" s="408" t="s">
        <v>2049</v>
      </c>
      <c r="B14" s="408" t="s">
        <v>8</v>
      </c>
      <c r="C14" s="258" t="s">
        <v>53</v>
      </c>
      <c r="D14" s="285" t="s">
        <v>1720</v>
      </c>
      <c r="E14" s="258" t="s">
        <v>1722</v>
      </c>
      <c r="F14" s="408">
        <v>1</v>
      </c>
      <c r="G14" s="386">
        <v>245901.64</v>
      </c>
      <c r="H14" s="89">
        <f t="shared" si="10"/>
        <v>245901.64</v>
      </c>
      <c r="I14" s="89">
        <f t="shared" si="11"/>
        <v>300000.00080000004</v>
      </c>
      <c r="J14" s="330"/>
      <c r="K14" s="330"/>
      <c r="L14" s="330"/>
      <c r="M14" s="330"/>
      <c r="N14" s="330">
        <v>1</v>
      </c>
      <c r="O14" s="333">
        <v>144400</v>
      </c>
      <c r="P14" s="333">
        <f t="shared" si="8"/>
        <v>144400</v>
      </c>
      <c r="Q14" s="333">
        <f>O14*1.22</f>
        <v>176168</v>
      </c>
      <c r="R14" s="330">
        <v>2022</v>
      </c>
      <c r="S14" s="333">
        <f t="shared" ref="S14:S15" si="13">I14-Q14</f>
        <v>123832.00080000004</v>
      </c>
      <c r="T14" s="330" t="e">
        <f t="shared" si="12"/>
        <v>#DIV/0!</v>
      </c>
      <c r="U14" s="330">
        <v>2022</v>
      </c>
      <c r="V14" s="330"/>
      <c r="W14" s="330"/>
      <c r="X14" s="330"/>
      <c r="Y14" s="330"/>
      <c r="Z14" s="335" t="s">
        <v>2094</v>
      </c>
      <c r="AA14" s="330" t="s">
        <v>2051</v>
      </c>
      <c r="AB14" s="330" t="s">
        <v>2073</v>
      </c>
      <c r="AC14" s="330"/>
      <c r="AD14" s="330"/>
      <c r="AE14" s="330"/>
      <c r="AF14" s="330"/>
      <c r="AG14" s="330"/>
      <c r="AH14" s="330" t="s">
        <v>8</v>
      </c>
      <c r="AI14" s="330" t="s">
        <v>1895</v>
      </c>
    </row>
    <row r="15" spans="1:35" ht="60" x14ac:dyDescent="0.2">
      <c r="A15" s="304" t="s">
        <v>2050</v>
      </c>
      <c r="B15" s="304" t="s">
        <v>8</v>
      </c>
      <c r="C15" s="258" t="s">
        <v>1628</v>
      </c>
      <c r="D15" s="285" t="s">
        <v>1720</v>
      </c>
      <c r="E15" s="258" t="s">
        <v>1722</v>
      </c>
      <c r="F15" s="304">
        <v>1</v>
      </c>
      <c r="G15" s="305">
        <v>245901.64</v>
      </c>
      <c r="H15" s="89">
        <f t="shared" si="0"/>
        <v>245901.64</v>
      </c>
      <c r="I15" s="89">
        <f t="shared" si="1"/>
        <v>300000.00080000004</v>
      </c>
      <c r="J15" s="330"/>
      <c r="K15" s="330"/>
      <c r="L15" s="330"/>
      <c r="M15" s="330"/>
      <c r="N15" s="330">
        <v>1</v>
      </c>
      <c r="O15" s="333">
        <v>196950</v>
      </c>
      <c r="P15" s="333">
        <f t="shared" si="8"/>
        <v>196950</v>
      </c>
      <c r="Q15" s="333">
        <f>O15*1.22</f>
        <v>240279</v>
      </c>
      <c r="R15" s="330">
        <v>2022</v>
      </c>
      <c r="S15" s="333">
        <f t="shared" si="13"/>
        <v>59721.000800000038</v>
      </c>
      <c r="T15" s="330" t="e">
        <f t="shared" si="2"/>
        <v>#DIV/0!</v>
      </c>
      <c r="U15" s="330">
        <v>2022</v>
      </c>
      <c r="V15" s="330"/>
      <c r="W15" s="330"/>
      <c r="X15" s="330"/>
      <c r="Y15" s="330"/>
      <c r="Z15" s="335" t="s">
        <v>2093</v>
      </c>
      <c r="AA15" s="330" t="s">
        <v>2057</v>
      </c>
      <c r="AB15" s="330" t="s">
        <v>2073</v>
      </c>
      <c r="AC15" s="330"/>
      <c r="AD15" s="330"/>
      <c r="AE15" s="330"/>
      <c r="AF15" s="330"/>
      <c r="AG15" s="330"/>
      <c r="AH15" s="330" t="s">
        <v>8</v>
      </c>
      <c r="AI15" s="330" t="s">
        <v>1895</v>
      </c>
    </row>
    <row r="16" spans="1:35" x14ac:dyDescent="0.2">
      <c r="A16" s="485" t="s">
        <v>59</v>
      </c>
      <c r="B16" s="485"/>
      <c r="C16" s="485"/>
      <c r="D16" s="485"/>
      <c r="E16" s="485"/>
      <c r="F16" s="485"/>
      <c r="G16" s="485"/>
      <c r="H16" s="329">
        <f>SUM(H2:H15)</f>
        <v>5377487.5269999979</v>
      </c>
      <c r="I16" s="329">
        <f>SUM(I2:I15)</f>
        <v>6560534.7829400003</v>
      </c>
      <c r="J16" s="486" t="s">
        <v>59</v>
      </c>
      <c r="K16" s="487"/>
      <c r="L16" s="487"/>
      <c r="M16" s="487"/>
      <c r="N16" s="487"/>
      <c r="O16" s="488"/>
      <c r="P16" s="329">
        <f>SUM(P2:P15)</f>
        <v>1709323.62</v>
      </c>
      <c r="Q16" s="329">
        <f>SUM(Q2:Q15)</f>
        <v>1944401.301</v>
      </c>
      <c r="R16" s="329"/>
      <c r="S16" s="329">
        <f>SUM(S2:S15)</f>
        <v>954093.48212000006</v>
      </c>
    </row>
  </sheetData>
  <autoFilter ref="A1:AI1"/>
  <mergeCells count="2">
    <mergeCell ref="A16:G16"/>
    <mergeCell ref="J16:O16"/>
  </mergeCells>
  <printOptions horizontalCentered="1"/>
  <pageMargins left="0" right="0" top="0.74803149606299213" bottom="0.74803149606299213" header="0.31496062992125984" footer="0.31496062992125984"/>
  <pageSetup paperSize="9" scale="95" orientation="landscape" r:id="rId1"/>
  <headerFooter>
    <oddHeader xml:space="preserve">&amp;C
</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activeCell="I11" sqref="I11"/>
    </sheetView>
  </sheetViews>
  <sheetFormatPr defaultColWidth="8.85546875" defaultRowHeight="12" x14ac:dyDescent="0.2"/>
  <cols>
    <col min="1" max="1" width="4" style="308" bestFit="1" customWidth="1"/>
    <col min="2" max="2" width="6.28515625" style="308" customWidth="1"/>
    <col min="3" max="3" width="23" style="308" customWidth="1"/>
    <col min="4" max="4" width="28.5703125" style="308" customWidth="1"/>
    <col min="5" max="5" width="35.7109375" style="308" customWidth="1"/>
    <col min="6" max="6" width="6.140625" style="308" customWidth="1"/>
    <col min="7" max="7" width="12.140625" style="313" customWidth="1"/>
    <col min="8" max="9" width="15.42578125" style="313" bestFit="1" customWidth="1"/>
    <col min="10" max="16384" width="8.85546875" style="308"/>
  </cols>
  <sheetData>
    <row r="1" spans="1:9" ht="11.65" x14ac:dyDescent="0.2">
      <c r="A1" s="489" t="s">
        <v>1732</v>
      </c>
      <c r="B1" s="490"/>
      <c r="C1" s="490"/>
      <c r="D1" s="490"/>
      <c r="E1" s="490"/>
      <c r="F1" s="490"/>
      <c r="G1" s="490"/>
      <c r="H1" s="490"/>
      <c r="I1" s="490"/>
    </row>
    <row r="2" spans="1:9" ht="36" x14ac:dyDescent="0.2">
      <c r="A2" s="309" t="s">
        <v>0</v>
      </c>
      <c r="B2" s="310" t="s">
        <v>1</v>
      </c>
      <c r="C2" s="310" t="s">
        <v>2</v>
      </c>
      <c r="D2" s="310" t="s">
        <v>3</v>
      </c>
      <c r="E2" s="310" t="s">
        <v>4</v>
      </c>
      <c r="F2" s="310" t="s">
        <v>5</v>
      </c>
      <c r="G2" s="311" t="s">
        <v>186</v>
      </c>
      <c r="H2" s="311" t="s">
        <v>92</v>
      </c>
      <c r="I2" s="311" t="s">
        <v>61</v>
      </c>
    </row>
    <row r="3" spans="1:9" ht="24" x14ac:dyDescent="0.2">
      <c r="A3" s="304">
        <v>1</v>
      </c>
      <c r="B3" s="304" t="s">
        <v>8</v>
      </c>
      <c r="C3" s="258" t="s">
        <v>1628</v>
      </c>
      <c r="D3" s="285" t="s">
        <v>39</v>
      </c>
      <c r="E3" s="258" t="s">
        <v>1724</v>
      </c>
      <c r="F3" s="314">
        <v>5</v>
      </c>
      <c r="G3" s="305">
        <f>H3/F3</f>
        <v>244960</v>
      </c>
      <c r="H3" s="305">
        <f>I3/1.22</f>
        <v>1224800</v>
      </c>
      <c r="I3" s="305">
        <v>1494256</v>
      </c>
    </row>
    <row r="4" spans="1:9" ht="24" x14ac:dyDescent="0.2">
      <c r="A4" s="304">
        <v>2</v>
      </c>
      <c r="B4" s="304" t="s">
        <v>8</v>
      </c>
      <c r="C4" s="258" t="s">
        <v>1628</v>
      </c>
      <c r="D4" s="285" t="s">
        <v>39</v>
      </c>
      <c r="E4" s="258" t="s">
        <v>1725</v>
      </c>
      <c r="F4" s="314">
        <v>50</v>
      </c>
      <c r="G4" s="305">
        <f t="shared" ref="G4:G10" si="0">H4/F4</f>
        <v>25000</v>
      </c>
      <c r="H4" s="305">
        <f t="shared" ref="H4:H10" si="1">I4/1.22</f>
        <v>1250000</v>
      </c>
      <c r="I4" s="305">
        <v>1525000</v>
      </c>
    </row>
    <row r="5" spans="1:9" x14ac:dyDescent="0.2">
      <c r="A5" s="304">
        <v>3</v>
      </c>
      <c r="B5" s="304" t="s">
        <v>8</v>
      </c>
      <c r="C5" s="258" t="s">
        <v>1628</v>
      </c>
      <c r="D5" s="285" t="s">
        <v>44</v>
      </c>
      <c r="E5" s="258" t="s">
        <v>1726</v>
      </c>
      <c r="F5" s="314">
        <v>1</v>
      </c>
      <c r="G5" s="305">
        <f t="shared" si="0"/>
        <v>1000000</v>
      </c>
      <c r="H5" s="305">
        <f t="shared" si="1"/>
        <v>1000000</v>
      </c>
      <c r="I5" s="305">
        <v>1220000</v>
      </c>
    </row>
    <row r="6" spans="1:9" x14ac:dyDescent="0.2">
      <c r="A6" s="304">
        <v>4</v>
      </c>
      <c r="B6" s="304" t="s">
        <v>8</v>
      </c>
      <c r="C6" s="258" t="s">
        <v>1628</v>
      </c>
      <c r="D6" s="258" t="s">
        <v>1231</v>
      </c>
      <c r="E6" s="258" t="s">
        <v>1727</v>
      </c>
      <c r="F6" s="314">
        <v>976</v>
      </c>
      <c r="G6" s="305">
        <f t="shared" si="0"/>
        <v>245.90163934426229</v>
      </c>
      <c r="H6" s="305">
        <f t="shared" si="1"/>
        <v>240000</v>
      </c>
      <c r="I6" s="305">
        <v>292800</v>
      </c>
    </row>
    <row r="7" spans="1:9" ht="24" x14ac:dyDescent="0.2">
      <c r="A7" s="304">
        <v>5</v>
      </c>
      <c r="B7" s="304" t="s">
        <v>8</v>
      </c>
      <c r="C7" s="258" t="s">
        <v>1628</v>
      </c>
      <c r="D7" s="258" t="s">
        <v>1716</v>
      </c>
      <c r="E7" s="258" t="s">
        <v>1728</v>
      </c>
      <c r="F7" s="314">
        <v>1</v>
      </c>
      <c r="G7" s="305">
        <f t="shared" si="0"/>
        <v>400000</v>
      </c>
      <c r="H7" s="305">
        <f t="shared" si="1"/>
        <v>400000</v>
      </c>
      <c r="I7" s="305">
        <v>488000</v>
      </c>
    </row>
    <row r="8" spans="1:9" x14ac:dyDescent="0.2">
      <c r="A8" s="304">
        <v>6</v>
      </c>
      <c r="B8" s="304" t="s">
        <v>8</v>
      </c>
      <c r="C8" s="258" t="s">
        <v>1628</v>
      </c>
      <c r="D8" s="285" t="s">
        <v>196</v>
      </c>
      <c r="E8" s="258" t="s">
        <v>1729</v>
      </c>
      <c r="F8" s="314">
        <v>400</v>
      </c>
      <c r="G8" s="305">
        <f t="shared" si="0"/>
        <v>800</v>
      </c>
      <c r="H8" s="305">
        <f t="shared" si="1"/>
        <v>320000</v>
      </c>
      <c r="I8" s="305">
        <v>390400</v>
      </c>
    </row>
    <row r="9" spans="1:9" x14ac:dyDescent="0.2">
      <c r="A9" s="304">
        <v>7</v>
      </c>
      <c r="B9" s="304" t="s">
        <v>8</v>
      </c>
      <c r="C9" s="258" t="s">
        <v>1628</v>
      </c>
      <c r="D9" s="285" t="s">
        <v>1717</v>
      </c>
      <c r="E9" s="258" t="s">
        <v>1730</v>
      </c>
      <c r="F9" s="314">
        <v>100</v>
      </c>
      <c r="G9" s="305">
        <f t="shared" si="0"/>
        <v>2000</v>
      </c>
      <c r="H9" s="305">
        <f t="shared" si="1"/>
        <v>200000</v>
      </c>
      <c r="I9" s="305">
        <v>244000</v>
      </c>
    </row>
    <row r="10" spans="1:9" ht="36" x14ac:dyDescent="0.2">
      <c r="A10" s="304">
        <v>8</v>
      </c>
      <c r="B10" s="304" t="s">
        <v>8</v>
      </c>
      <c r="C10" s="258" t="s">
        <v>1628</v>
      </c>
      <c r="D10" s="285" t="s">
        <v>1720</v>
      </c>
      <c r="E10" s="258" t="s">
        <v>1731</v>
      </c>
      <c r="F10" s="314">
        <v>1</v>
      </c>
      <c r="G10" s="305">
        <f t="shared" si="0"/>
        <v>1811194.0573770492</v>
      </c>
      <c r="H10" s="305">
        <f t="shared" si="1"/>
        <v>1811194.0573770492</v>
      </c>
      <c r="I10" s="305">
        <v>2209656.75</v>
      </c>
    </row>
    <row r="11" spans="1:9" ht="11.65" x14ac:dyDescent="0.2">
      <c r="A11" s="485" t="s">
        <v>59</v>
      </c>
      <c r="B11" s="485"/>
      <c r="C11" s="485"/>
      <c r="D11" s="485"/>
      <c r="E11" s="485"/>
      <c r="F11" s="485"/>
      <c r="G11" s="485"/>
      <c r="H11" s="312">
        <f>SUM(H3:H10)</f>
        <v>6445994.0573770497</v>
      </c>
      <c r="I11" s="312">
        <f>SUM(I3:I10)</f>
        <v>7864112.75</v>
      </c>
    </row>
  </sheetData>
  <autoFilter ref="A2:I11"/>
  <mergeCells count="2">
    <mergeCell ref="A1:I1"/>
    <mergeCell ref="A11:G11"/>
  </mergeCells>
  <printOptions horizontalCentered="1"/>
  <pageMargins left="0" right="0" top="0.74803149606299213" bottom="0.74803149606299213" header="0.31496062992125984" footer="0.31496062992125984"/>
  <pageSetup paperSize="9" scale="95" orientation="landscape" r:id="rId1"/>
  <headerFooter>
    <oddHeader xml:space="preserve">&amp;C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6"/>
  <sheetViews>
    <sheetView zoomScale="80" zoomScaleNormal="80" workbookViewId="0">
      <pane ySplit="1" topLeftCell="A5" activePane="bottomLeft" state="frozen"/>
      <selection activeCell="F1" sqref="F1"/>
      <selection pane="bottomLeft" activeCell="L32" sqref="L32"/>
    </sheetView>
  </sheetViews>
  <sheetFormatPr defaultColWidth="6.42578125" defaultRowHeight="12" x14ac:dyDescent="0.25"/>
  <cols>
    <col min="1" max="1" width="7.28515625" style="11" bestFit="1" customWidth="1"/>
    <col min="2" max="3" width="10.85546875" style="13" bestFit="1" customWidth="1"/>
    <col min="4" max="4" width="16.7109375" style="16" bestFit="1" customWidth="1"/>
    <col min="5" max="5" width="26.140625" style="16" bestFit="1" customWidth="1"/>
    <col min="6" max="6" width="8.42578125" style="13" bestFit="1" customWidth="1"/>
    <col min="7" max="7" width="17" style="17" bestFit="1" customWidth="1"/>
    <col min="8" max="8" width="18.7109375" style="17" bestFit="1" customWidth="1"/>
    <col min="9" max="9" width="18.42578125" style="17" bestFit="1" customWidth="1"/>
    <col min="10" max="10" width="8.42578125" style="13" bestFit="1" customWidth="1"/>
    <col min="11" max="11" width="23" style="17" bestFit="1" customWidth="1"/>
    <col min="12" max="12" width="19.28515625" style="17" bestFit="1" customWidth="1"/>
    <col min="13" max="13" width="18.85546875" style="17" bestFit="1" customWidth="1"/>
    <col min="14" max="14" width="8.42578125" style="13" bestFit="1" customWidth="1"/>
    <col min="15" max="15" width="25.140625" style="17" bestFit="1" customWidth="1"/>
    <col min="16" max="16" width="18.7109375" style="17" bestFit="1" customWidth="1"/>
    <col min="17" max="17" width="18.42578125" style="17" bestFit="1" customWidth="1"/>
    <col min="18" max="18" width="20.42578125" style="11" bestFit="1" customWidth="1"/>
    <col min="19" max="19" width="12.28515625" style="11" bestFit="1" customWidth="1"/>
    <col min="20" max="20" width="14.28515625" style="49" bestFit="1" customWidth="1"/>
    <col min="21" max="21" width="19" style="234" bestFit="1" customWidth="1"/>
    <col min="22" max="22" width="15.42578125" style="234" bestFit="1" customWidth="1"/>
    <col min="23" max="23" width="28.140625" style="234" bestFit="1" customWidth="1"/>
    <col min="24" max="24" width="27" style="234" bestFit="1" customWidth="1"/>
    <col min="25" max="25" width="22.85546875" style="11" bestFit="1" customWidth="1"/>
    <col min="26" max="26" width="36.7109375" style="11" bestFit="1" customWidth="1"/>
    <col min="27" max="27" width="15.140625" style="11" bestFit="1" customWidth="1"/>
    <col min="28" max="28" width="28.85546875" style="11" bestFit="1" customWidth="1"/>
    <col min="29" max="29" width="12.140625" style="13" bestFit="1" customWidth="1"/>
    <col min="30" max="30" width="11.5703125" style="11" bestFit="1" customWidth="1"/>
    <col min="31" max="31" width="30.85546875" style="11" bestFit="1" customWidth="1"/>
    <col min="32" max="32" width="35.140625" style="11" bestFit="1" customWidth="1"/>
    <col min="33" max="33" width="22.7109375" style="13" bestFit="1" customWidth="1"/>
    <col min="34" max="34" width="18" style="8" bestFit="1" customWidth="1"/>
    <col min="35" max="35" width="16.28515625" style="8" bestFit="1" customWidth="1"/>
    <col min="36" max="254" width="9.140625" style="8" customWidth="1"/>
    <col min="255" max="255" width="2.7109375" style="8" bestFit="1" customWidth="1"/>
    <col min="256" max="256" width="6.42578125" style="8" bestFit="1"/>
    <col min="257" max="16384" width="6.42578125" style="8"/>
  </cols>
  <sheetData>
    <row r="1" spans="1:35" s="3" customFormat="1" ht="24" x14ac:dyDescent="0.25">
      <c r="A1" s="63" t="s">
        <v>0</v>
      </c>
      <c r="B1" s="64" t="s">
        <v>1</v>
      </c>
      <c r="C1" s="64" t="s">
        <v>2</v>
      </c>
      <c r="D1" s="64" t="s">
        <v>3</v>
      </c>
      <c r="E1" s="64" t="s">
        <v>4</v>
      </c>
      <c r="F1" s="64" t="s">
        <v>5</v>
      </c>
      <c r="G1" s="18" t="s">
        <v>60</v>
      </c>
      <c r="H1" s="18" t="s">
        <v>6</v>
      </c>
      <c r="I1" s="18" t="s">
        <v>7</v>
      </c>
      <c r="J1" s="64" t="s">
        <v>5</v>
      </c>
      <c r="K1" s="18" t="s">
        <v>105</v>
      </c>
      <c r="L1" s="18" t="s">
        <v>92</v>
      </c>
      <c r="M1" s="18" t="s">
        <v>61</v>
      </c>
      <c r="N1" s="64" t="s">
        <v>5</v>
      </c>
      <c r="O1" s="18" t="s">
        <v>67</v>
      </c>
      <c r="P1" s="18" t="s">
        <v>6</v>
      </c>
      <c r="Q1" s="18" t="s">
        <v>7</v>
      </c>
      <c r="R1" s="18" t="s">
        <v>310</v>
      </c>
      <c r="S1" s="18" t="s">
        <v>93</v>
      </c>
      <c r="T1" s="47" t="s">
        <v>267</v>
      </c>
      <c r="U1" s="65" t="s">
        <v>106</v>
      </c>
      <c r="V1" s="65" t="s">
        <v>107</v>
      </c>
      <c r="W1" s="65" t="s">
        <v>108</v>
      </c>
      <c r="X1" s="65" t="s">
        <v>109</v>
      </c>
      <c r="Y1" s="63" t="s">
        <v>110</v>
      </c>
      <c r="Z1" s="63" t="s">
        <v>111</v>
      </c>
      <c r="AA1" s="63" t="s">
        <v>112</v>
      </c>
      <c r="AB1" s="63" t="s">
        <v>113</v>
      </c>
      <c r="AC1" s="64" t="s">
        <v>114</v>
      </c>
      <c r="AD1" s="63" t="s">
        <v>115</v>
      </c>
      <c r="AE1" s="63" t="s">
        <v>116</v>
      </c>
      <c r="AF1" s="63" t="s">
        <v>117</v>
      </c>
      <c r="AG1" s="64" t="s">
        <v>118</v>
      </c>
      <c r="AH1" s="18" t="s">
        <v>1539</v>
      </c>
      <c r="AI1" s="47" t="s">
        <v>1540</v>
      </c>
    </row>
    <row r="2" spans="1:35" ht="36" x14ac:dyDescent="0.25">
      <c r="A2" s="96">
        <v>1</v>
      </c>
      <c r="B2" s="91" t="s">
        <v>8</v>
      </c>
      <c r="C2" s="97" t="s">
        <v>9</v>
      </c>
      <c r="D2" s="97" t="s">
        <v>70</v>
      </c>
      <c r="E2" s="97" t="s">
        <v>71</v>
      </c>
      <c r="F2" s="91">
        <v>1</v>
      </c>
      <c r="G2" s="98">
        <v>250000</v>
      </c>
      <c r="H2" s="93">
        <f t="shared" ref="H2:H19" si="0">F2*G2</f>
        <v>250000</v>
      </c>
      <c r="I2" s="93">
        <f t="shared" ref="I2:I19" si="1">H2*1.22</f>
        <v>305000</v>
      </c>
      <c r="J2" s="91">
        <v>1</v>
      </c>
      <c r="K2" s="98">
        <v>250000</v>
      </c>
      <c r="L2" s="93">
        <f t="shared" ref="L2:L19" si="2">J2*K2</f>
        <v>250000</v>
      </c>
      <c r="M2" s="93">
        <f t="shared" ref="M2:M19" si="3">L2*1.22</f>
        <v>305000</v>
      </c>
      <c r="N2" s="91">
        <v>1</v>
      </c>
      <c r="O2" s="98">
        <v>190400</v>
      </c>
      <c r="P2" s="93">
        <f t="shared" ref="P2:P19" si="4">N2*O2</f>
        <v>190400</v>
      </c>
      <c r="Q2" s="93">
        <f t="shared" ref="Q2:Q19" si="5">P2*1.22</f>
        <v>232288</v>
      </c>
      <c r="R2" s="96">
        <v>2016</v>
      </c>
      <c r="S2" s="99">
        <f t="shared" ref="S2:S19" si="6">I2-Q2</f>
        <v>72712</v>
      </c>
      <c r="T2" s="100">
        <f t="shared" ref="T2:T19" si="7">1-Q2/M2</f>
        <v>0.23839999999999995</v>
      </c>
      <c r="U2" s="101" t="s">
        <v>259</v>
      </c>
      <c r="V2" s="101" t="s">
        <v>258</v>
      </c>
      <c r="W2" s="101">
        <v>42439</v>
      </c>
      <c r="X2" s="101">
        <v>42452</v>
      </c>
      <c r="Y2" s="96" t="s">
        <v>1227</v>
      </c>
      <c r="Z2" s="96" t="s">
        <v>1228</v>
      </c>
      <c r="AA2" s="91">
        <v>6012613535</v>
      </c>
      <c r="AB2" s="91" t="s">
        <v>322</v>
      </c>
      <c r="AC2" s="91" t="s">
        <v>955</v>
      </c>
      <c r="AD2" s="102">
        <v>43860</v>
      </c>
      <c r="AE2" s="91" t="s">
        <v>1229</v>
      </c>
      <c r="AF2" s="91" t="s">
        <v>1379</v>
      </c>
      <c r="AG2" s="91" t="s">
        <v>1285</v>
      </c>
      <c r="AH2" s="96" t="s">
        <v>8</v>
      </c>
      <c r="AI2" s="91" t="s">
        <v>1541</v>
      </c>
    </row>
    <row r="3" spans="1:35" ht="48" x14ac:dyDescent="0.25">
      <c r="A3" s="96">
        <v>2</v>
      </c>
      <c r="B3" s="91" t="s">
        <v>8</v>
      </c>
      <c r="C3" s="97" t="s">
        <v>9</v>
      </c>
      <c r="D3" s="97" t="s">
        <v>70</v>
      </c>
      <c r="E3" s="97" t="s">
        <v>72</v>
      </c>
      <c r="F3" s="91">
        <v>1</v>
      </c>
      <c r="G3" s="98">
        <v>199999.924</v>
      </c>
      <c r="H3" s="93">
        <f t="shared" si="0"/>
        <v>199999.924</v>
      </c>
      <c r="I3" s="93">
        <f t="shared" si="1"/>
        <v>243999.90727999998</v>
      </c>
      <c r="J3" s="91">
        <v>1</v>
      </c>
      <c r="K3" s="98">
        <v>450000</v>
      </c>
      <c r="L3" s="93">
        <f t="shared" si="2"/>
        <v>450000</v>
      </c>
      <c r="M3" s="93">
        <f t="shared" si="3"/>
        <v>549000</v>
      </c>
      <c r="N3" s="91">
        <v>1</v>
      </c>
      <c r="O3" s="98">
        <v>238000</v>
      </c>
      <c r="P3" s="93">
        <f t="shared" si="4"/>
        <v>238000</v>
      </c>
      <c r="Q3" s="93">
        <f t="shared" si="5"/>
        <v>290360</v>
      </c>
      <c r="R3" s="96">
        <v>2015</v>
      </c>
      <c r="S3" s="99">
        <f t="shared" si="6"/>
        <v>-46360.092720000015</v>
      </c>
      <c r="T3" s="100">
        <f t="shared" si="7"/>
        <v>0.47111111111111115</v>
      </c>
      <c r="U3" s="101" t="s">
        <v>245</v>
      </c>
      <c r="V3" s="101" t="s">
        <v>246</v>
      </c>
      <c r="W3" s="101" t="s">
        <v>247</v>
      </c>
      <c r="X3" s="101" t="s">
        <v>248</v>
      </c>
      <c r="Y3" s="96" t="s">
        <v>119</v>
      </c>
      <c r="Z3" s="96"/>
      <c r="AA3" s="91" t="s">
        <v>120</v>
      </c>
      <c r="AB3" s="91" t="s">
        <v>449</v>
      </c>
      <c r="AC3" s="91" t="s">
        <v>630</v>
      </c>
      <c r="AD3" s="102">
        <v>42584</v>
      </c>
      <c r="AE3" s="91" t="s">
        <v>566</v>
      </c>
      <c r="AF3" s="91" t="s">
        <v>1273</v>
      </c>
      <c r="AG3" s="91" t="s">
        <v>573</v>
      </c>
      <c r="AH3" s="96" t="s">
        <v>8</v>
      </c>
      <c r="AI3" s="91" t="s">
        <v>1541</v>
      </c>
    </row>
    <row r="4" spans="1:35" ht="27.75" customHeight="1" x14ac:dyDescent="0.3">
      <c r="A4" s="96">
        <v>3</v>
      </c>
      <c r="B4" s="91" t="s">
        <v>8</v>
      </c>
      <c r="C4" s="97" t="s">
        <v>9</v>
      </c>
      <c r="D4" s="97" t="s">
        <v>25</v>
      </c>
      <c r="E4" s="97" t="s">
        <v>54</v>
      </c>
      <c r="F4" s="91">
        <v>1</v>
      </c>
      <c r="G4" s="98">
        <v>45000</v>
      </c>
      <c r="H4" s="93">
        <f t="shared" si="0"/>
        <v>45000</v>
      </c>
      <c r="I4" s="93">
        <f t="shared" si="1"/>
        <v>54900</v>
      </c>
      <c r="J4" s="91">
        <v>1</v>
      </c>
      <c r="K4" s="98">
        <v>45000</v>
      </c>
      <c r="L4" s="93">
        <f t="shared" si="2"/>
        <v>45000</v>
      </c>
      <c r="M4" s="93">
        <f t="shared" si="3"/>
        <v>54900</v>
      </c>
      <c r="N4" s="91">
        <v>1</v>
      </c>
      <c r="O4" s="98">
        <v>35907.5</v>
      </c>
      <c r="P4" s="98">
        <f t="shared" si="4"/>
        <v>35907.5</v>
      </c>
      <c r="Q4" s="98">
        <f t="shared" si="5"/>
        <v>43807.15</v>
      </c>
      <c r="R4" s="96">
        <v>2015</v>
      </c>
      <c r="S4" s="99">
        <f t="shared" si="6"/>
        <v>11092.849999999999</v>
      </c>
      <c r="T4" s="100">
        <f t="shared" si="7"/>
        <v>0.20205555555555554</v>
      </c>
      <c r="U4" s="101" t="s">
        <v>240</v>
      </c>
      <c r="V4" s="101" t="s">
        <v>241</v>
      </c>
      <c r="W4" s="101" t="s">
        <v>242</v>
      </c>
      <c r="X4" s="101" t="s">
        <v>243</v>
      </c>
      <c r="Y4" s="96" t="s">
        <v>261</v>
      </c>
      <c r="Z4" s="96"/>
      <c r="AA4" s="96" t="s">
        <v>250</v>
      </c>
      <c r="AB4" s="96" t="s">
        <v>249</v>
      </c>
      <c r="AC4" s="101">
        <v>42412</v>
      </c>
      <c r="AD4" s="102">
        <v>42417</v>
      </c>
      <c r="AE4" s="91" t="s">
        <v>567</v>
      </c>
      <c r="AF4" s="91" t="s">
        <v>1273</v>
      </c>
      <c r="AG4" s="91" t="s">
        <v>574</v>
      </c>
      <c r="AH4" s="96" t="s">
        <v>8</v>
      </c>
      <c r="AI4" s="91" t="s">
        <v>1541</v>
      </c>
    </row>
    <row r="5" spans="1:35" ht="48" x14ac:dyDescent="0.25">
      <c r="A5" s="96">
        <v>4</v>
      </c>
      <c r="B5" s="91" t="s">
        <v>8</v>
      </c>
      <c r="C5" s="97" t="s">
        <v>9</v>
      </c>
      <c r="D5" s="97" t="s">
        <v>28</v>
      </c>
      <c r="E5" s="97" t="s">
        <v>30</v>
      </c>
      <c r="F5" s="91">
        <v>2</v>
      </c>
      <c r="G5" s="98">
        <v>42112</v>
      </c>
      <c r="H5" s="93">
        <f t="shared" si="0"/>
        <v>84224</v>
      </c>
      <c r="I5" s="93">
        <f t="shared" si="1"/>
        <v>102753.28</v>
      </c>
      <c r="J5" s="91">
        <v>2</v>
      </c>
      <c r="K5" s="98">
        <v>42112</v>
      </c>
      <c r="L5" s="93">
        <f t="shared" si="2"/>
        <v>84224</v>
      </c>
      <c r="M5" s="93">
        <f t="shared" si="3"/>
        <v>102753.28</v>
      </c>
      <c r="N5" s="91">
        <v>2</v>
      </c>
      <c r="O5" s="98">
        <v>42112</v>
      </c>
      <c r="P5" s="93">
        <f t="shared" si="4"/>
        <v>84224</v>
      </c>
      <c r="Q5" s="93">
        <f t="shared" si="5"/>
        <v>102753.28</v>
      </c>
      <c r="R5" s="96">
        <v>2015</v>
      </c>
      <c r="S5" s="99">
        <f t="shared" si="6"/>
        <v>0</v>
      </c>
      <c r="T5" s="100">
        <f t="shared" si="7"/>
        <v>0</v>
      </c>
      <c r="U5" s="101">
        <v>42065</v>
      </c>
      <c r="V5" s="101">
        <v>42082</v>
      </c>
      <c r="W5" s="101">
        <v>42165</v>
      </c>
      <c r="X5" s="101">
        <v>42171</v>
      </c>
      <c r="Y5" s="91" t="s">
        <v>358</v>
      </c>
      <c r="Z5" s="96" t="s">
        <v>121</v>
      </c>
      <c r="AA5" s="91" t="s">
        <v>357</v>
      </c>
      <c r="AB5" s="91" t="s">
        <v>356</v>
      </c>
      <c r="AC5" s="101" t="s">
        <v>355</v>
      </c>
      <c r="AD5" s="101">
        <v>42633</v>
      </c>
      <c r="AE5" s="91" t="s">
        <v>354</v>
      </c>
      <c r="AF5" s="91" t="s">
        <v>1273</v>
      </c>
      <c r="AG5" s="91" t="s">
        <v>262</v>
      </c>
      <c r="AH5" s="96" t="s">
        <v>8</v>
      </c>
      <c r="AI5" s="91" t="s">
        <v>1541</v>
      </c>
    </row>
    <row r="6" spans="1:35" ht="24" customHeight="1" x14ac:dyDescent="0.3">
      <c r="A6" s="96">
        <v>5</v>
      </c>
      <c r="B6" s="91" t="s">
        <v>8</v>
      </c>
      <c r="C6" s="97" t="s">
        <v>9</v>
      </c>
      <c r="D6" s="97" t="s">
        <v>28</v>
      </c>
      <c r="E6" s="97" t="s">
        <v>30</v>
      </c>
      <c r="F6" s="91">
        <v>1</v>
      </c>
      <c r="G6" s="98">
        <v>42112</v>
      </c>
      <c r="H6" s="93">
        <f t="shared" si="0"/>
        <v>42112</v>
      </c>
      <c r="I6" s="93">
        <f t="shared" si="1"/>
        <v>51376.639999999999</v>
      </c>
      <c r="J6" s="91">
        <v>1</v>
      </c>
      <c r="K6" s="98">
        <v>42112</v>
      </c>
      <c r="L6" s="93">
        <f t="shared" si="2"/>
        <v>42112</v>
      </c>
      <c r="M6" s="93">
        <f t="shared" si="3"/>
        <v>51376.639999999999</v>
      </c>
      <c r="N6" s="91">
        <v>1</v>
      </c>
      <c r="O6" s="98">
        <v>42100</v>
      </c>
      <c r="P6" s="93">
        <f t="shared" si="4"/>
        <v>42100</v>
      </c>
      <c r="Q6" s="93">
        <f t="shared" si="5"/>
        <v>51362</v>
      </c>
      <c r="R6" s="96">
        <v>2016</v>
      </c>
      <c r="S6" s="99">
        <f t="shared" si="6"/>
        <v>14.639999999999418</v>
      </c>
      <c r="T6" s="100">
        <f t="shared" si="7"/>
        <v>2.8495440729481292E-4</v>
      </c>
      <c r="U6" s="101">
        <v>42306</v>
      </c>
      <c r="V6" s="101">
        <v>42321</v>
      </c>
      <c r="W6" s="101">
        <v>42360</v>
      </c>
      <c r="X6" s="101">
        <v>42369</v>
      </c>
      <c r="Y6" s="91" t="s">
        <v>352</v>
      </c>
      <c r="Z6" s="96" t="s">
        <v>121</v>
      </c>
      <c r="AA6" s="91" t="s">
        <v>353</v>
      </c>
      <c r="AB6" s="91" t="s">
        <v>632</v>
      </c>
      <c r="AC6" s="101">
        <v>42432</v>
      </c>
      <c r="AD6" s="101">
        <v>42444</v>
      </c>
      <c r="AE6" s="91" t="s">
        <v>565</v>
      </c>
      <c r="AF6" s="91" t="s">
        <v>1273</v>
      </c>
      <c r="AG6" s="91" t="s">
        <v>575</v>
      </c>
      <c r="AH6" s="96" t="s">
        <v>8</v>
      </c>
      <c r="AI6" s="91" t="s">
        <v>1541</v>
      </c>
    </row>
    <row r="7" spans="1:35" ht="24" x14ac:dyDescent="0.25">
      <c r="A7" s="96">
        <v>6</v>
      </c>
      <c r="B7" s="91" t="s">
        <v>8</v>
      </c>
      <c r="C7" s="97" t="s">
        <v>9</v>
      </c>
      <c r="D7" s="97" t="s">
        <v>28</v>
      </c>
      <c r="E7" s="97" t="s">
        <v>73</v>
      </c>
      <c r="F7" s="91">
        <v>1</v>
      </c>
      <c r="G7" s="98">
        <v>60000</v>
      </c>
      <c r="H7" s="93">
        <f t="shared" si="0"/>
        <v>60000</v>
      </c>
      <c r="I7" s="93">
        <f t="shared" si="1"/>
        <v>73200</v>
      </c>
      <c r="J7" s="91">
        <v>1</v>
      </c>
      <c r="K7" s="98">
        <v>60000</v>
      </c>
      <c r="L7" s="93">
        <f t="shared" si="2"/>
        <v>60000</v>
      </c>
      <c r="M7" s="93">
        <f t="shared" si="3"/>
        <v>73200</v>
      </c>
      <c r="N7" s="91">
        <v>1</v>
      </c>
      <c r="O7" s="98">
        <v>49514.94</v>
      </c>
      <c r="P7" s="93">
        <f t="shared" si="4"/>
        <v>49514.94</v>
      </c>
      <c r="Q7" s="93">
        <f t="shared" si="5"/>
        <v>60408.226800000004</v>
      </c>
      <c r="R7" s="96">
        <v>2015</v>
      </c>
      <c r="S7" s="99">
        <f t="shared" si="6"/>
        <v>12791.773199999996</v>
      </c>
      <c r="T7" s="100">
        <f t="shared" si="7"/>
        <v>0.17475099999999999</v>
      </c>
      <c r="U7" s="101">
        <v>42250</v>
      </c>
      <c r="V7" s="101">
        <v>42277</v>
      </c>
      <c r="W7" s="101">
        <v>42304</v>
      </c>
      <c r="X7" s="101">
        <v>42312</v>
      </c>
      <c r="Y7" s="96" t="s">
        <v>122</v>
      </c>
      <c r="Z7" s="96" t="s">
        <v>121</v>
      </c>
      <c r="AA7" s="96" t="s">
        <v>123</v>
      </c>
      <c r="AB7" s="96" t="s">
        <v>124</v>
      </c>
      <c r="AC7" s="102">
        <v>42353</v>
      </c>
      <c r="AD7" s="102">
        <v>42361</v>
      </c>
      <c r="AE7" s="96" t="s">
        <v>319</v>
      </c>
      <c r="AF7" s="91" t="s">
        <v>1273</v>
      </c>
      <c r="AG7" s="91" t="s">
        <v>320</v>
      </c>
      <c r="AH7" s="96" t="s">
        <v>8</v>
      </c>
      <c r="AI7" s="91" t="s">
        <v>1541</v>
      </c>
    </row>
    <row r="8" spans="1:35" ht="30.75" customHeight="1" x14ac:dyDescent="0.3">
      <c r="A8" s="96">
        <v>7</v>
      </c>
      <c r="B8" s="91" t="s">
        <v>8</v>
      </c>
      <c r="C8" s="97" t="s">
        <v>9</v>
      </c>
      <c r="D8" s="97" t="s">
        <v>28</v>
      </c>
      <c r="E8" s="97" t="s">
        <v>74</v>
      </c>
      <c r="F8" s="91">
        <v>1</v>
      </c>
      <c r="G8" s="98">
        <v>12831.25</v>
      </c>
      <c r="H8" s="93">
        <f t="shared" si="0"/>
        <v>12831.25</v>
      </c>
      <c r="I8" s="93">
        <f t="shared" si="1"/>
        <v>15654.125</v>
      </c>
      <c r="J8" s="91">
        <v>1</v>
      </c>
      <c r="K8" s="98">
        <v>12831.25</v>
      </c>
      <c r="L8" s="93">
        <f t="shared" si="2"/>
        <v>12831.25</v>
      </c>
      <c r="M8" s="93">
        <f t="shared" si="3"/>
        <v>15654.125</v>
      </c>
      <c r="N8" s="91">
        <v>1</v>
      </c>
      <c r="O8" s="98">
        <v>12831.25</v>
      </c>
      <c r="P8" s="93">
        <f t="shared" si="4"/>
        <v>12831.25</v>
      </c>
      <c r="Q8" s="93">
        <f t="shared" si="5"/>
        <v>15654.125</v>
      </c>
      <c r="R8" s="96">
        <v>2015</v>
      </c>
      <c r="S8" s="99">
        <f t="shared" si="6"/>
        <v>0</v>
      </c>
      <c r="T8" s="100">
        <f t="shared" si="7"/>
        <v>0</v>
      </c>
      <c r="U8" s="101">
        <v>42116</v>
      </c>
      <c r="V8" s="101">
        <v>42116</v>
      </c>
      <c r="W8" s="101" t="s">
        <v>244</v>
      </c>
      <c r="X8" s="101" t="s">
        <v>244</v>
      </c>
      <c r="Y8" s="96" t="s">
        <v>121</v>
      </c>
      <c r="Z8" s="96" t="s">
        <v>125</v>
      </c>
      <c r="AA8" s="96" t="s">
        <v>126</v>
      </c>
      <c r="AB8" s="96" t="s">
        <v>127</v>
      </c>
      <c r="AC8" s="101">
        <v>42160</v>
      </c>
      <c r="AD8" s="102">
        <v>42185</v>
      </c>
      <c r="AE8" s="96" t="s">
        <v>263</v>
      </c>
      <c r="AF8" s="91" t="s">
        <v>1273</v>
      </c>
      <c r="AG8" s="91" t="s">
        <v>288</v>
      </c>
      <c r="AH8" s="96" t="s">
        <v>8</v>
      </c>
      <c r="AI8" s="91" t="s">
        <v>1541</v>
      </c>
    </row>
    <row r="9" spans="1:35" ht="29.25" customHeight="1" x14ac:dyDescent="0.3">
      <c r="A9" s="96">
        <v>8</v>
      </c>
      <c r="B9" s="91" t="s">
        <v>8</v>
      </c>
      <c r="C9" s="97" t="s">
        <v>9</v>
      </c>
      <c r="D9" s="97" t="s">
        <v>75</v>
      </c>
      <c r="E9" s="97" t="s">
        <v>76</v>
      </c>
      <c r="F9" s="91">
        <v>1</v>
      </c>
      <c r="G9" s="98">
        <v>21000</v>
      </c>
      <c r="H9" s="93">
        <f t="shared" si="0"/>
        <v>21000</v>
      </c>
      <c r="I9" s="93">
        <f t="shared" si="1"/>
        <v>25620</v>
      </c>
      <c r="J9" s="91">
        <v>1</v>
      </c>
      <c r="K9" s="98">
        <v>29500</v>
      </c>
      <c r="L9" s="93">
        <f t="shared" si="2"/>
        <v>29500</v>
      </c>
      <c r="M9" s="93">
        <f t="shared" si="3"/>
        <v>35990</v>
      </c>
      <c r="N9" s="91">
        <v>1</v>
      </c>
      <c r="O9" s="98">
        <v>21000</v>
      </c>
      <c r="P9" s="93">
        <f t="shared" si="4"/>
        <v>21000</v>
      </c>
      <c r="Q9" s="93">
        <f t="shared" si="5"/>
        <v>25620</v>
      </c>
      <c r="R9" s="96">
        <v>2014</v>
      </c>
      <c r="S9" s="99">
        <f t="shared" si="6"/>
        <v>0</v>
      </c>
      <c r="T9" s="100">
        <f t="shared" si="7"/>
        <v>0.28813559322033899</v>
      </c>
      <c r="U9" s="101">
        <v>41908</v>
      </c>
      <c r="V9" s="101">
        <v>41926</v>
      </c>
      <c r="W9" s="101" t="s">
        <v>239</v>
      </c>
      <c r="X9" s="101" t="s">
        <v>238</v>
      </c>
      <c r="Y9" s="96" t="s">
        <v>121</v>
      </c>
      <c r="Z9" s="102" t="s">
        <v>128</v>
      </c>
      <c r="AA9" s="96" t="s">
        <v>264</v>
      </c>
      <c r="AB9" s="96" t="s">
        <v>129</v>
      </c>
      <c r="AC9" s="101">
        <v>42016</v>
      </c>
      <c r="AD9" s="102">
        <v>42025</v>
      </c>
      <c r="AE9" s="96" t="s">
        <v>265</v>
      </c>
      <c r="AF9" s="91" t="s">
        <v>1273</v>
      </c>
      <c r="AG9" s="91" t="s">
        <v>130</v>
      </c>
      <c r="AH9" s="96" t="s">
        <v>8</v>
      </c>
      <c r="AI9" s="91" t="s">
        <v>1541</v>
      </c>
    </row>
    <row r="10" spans="1:35" ht="29.25" customHeight="1" x14ac:dyDescent="0.3">
      <c r="A10" s="96">
        <v>9</v>
      </c>
      <c r="B10" s="91" t="s">
        <v>8</v>
      </c>
      <c r="C10" s="97" t="s">
        <v>9</v>
      </c>
      <c r="D10" s="97" t="s">
        <v>75</v>
      </c>
      <c r="E10" s="97" t="s">
        <v>77</v>
      </c>
      <c r="F10" s="91">
        <v>1</v>
      </c>
      <c r="G10" s="98">
        <v>5900</v>
      </c>
      <c r="H10" s="93">
        <f t="shared" si="0"/>
        <v>5900</v>
      </c>
      <c r="I10" s="93">
        <f t="shared" si="1"/>
        <v>7198</v>
      </c>
      <c r="J10" s="91">
        <v>1</v>
      </c>
      <c r="K10" s="98">
        <v>8000</v>
      </c>
      <c r="L10" s="93">
        <f t="shared" si="2"/>
        <v>8000</v>
      </c>
      <c r="M10" s="93">
        <f t="shared" si="3"/>
        <v>9760</v>
      </c>
      <c r="N10" s="91">
        <v>1</v>
      </c>
      <c r="O10" s="98">
        <v>5900</v>
      </c>
      <c r="P10" s="93">
        <f t="shared" si="4"/>
        <v>5900</v>
      </c>
      <c r="Q10" s="93">
        <f t="shared" si="5"/>
        <v>7198</v>
      </c>
      <c r="R10" s="96">
        <v>2014</v>
      </c>
      <c r="S10" s="99">
        <f t="shared" si="6"/>
        <v>0</v>
      </c>
      <c r="T10" s="100">
        <f t="shared" si="7"/>
        <v>0.26249999999999996</v>
      </c>
      <c r="U10" s="101">
        <v>41908</v>
      </c>
      <c r="V10" s="101">
        <v>41926</v>
      </c>
      <c r="W10" s="101" t="s">
        <v>239</v>
      </c>
      <c r="X10" s="101" t="s">
        <v>238</v>
      </c>
      <c r="Y10" s="96" t="s">
        <v>121</v>
      </c>
      <c r="Z10" s="102" t="s">
        <v>128</v>
      </c>
      <c r="AA10" s="96" t="s">
        <v>633</v>
      </c>
      <c r="AB10" s="96" t="s">
        <v>129</v>
      </c>
      <c r="AC10" s="101">
        <v>42016</v>
      </c>
      <c r="AD10" s="102">
        <v>42025</v>
      </c>
      <c r="AE10" s="96" t="s">
        <v>265</v>
      </c>
      <c r="AF10" s="91" t="s">
        <v>1273</v>
      </c>
      <c r="AG10" s="91" t="s">
        <v>130</v>
      </c>
      <c r="AH10" s="96" t="s">
        <v>8</v>
      </c>
      <c r="AI10" s="91" t="s">
        <v>1541</v>
      </c>
    </row>
    <row r="11" spans="1:35" ht="29.25" customHeight="1" x14ac:dyDescent="0.3">
      <c r="A11" s="96">
        <v>10</v>
      </c>
      <c r="B11" s="91" t="s">
        <v>8</v>
      </c>
      <c r="C11" s="97" t="s">
        <v>9</v>
      </c>
      <c r="D11" s="97" t="s">
        <v>75</v>
      </c>
      <c r="E11" s="97" t="s">
        <v>78</v>
      </c>
      <c r="F11" s="91">
        <v>1</v>
      </c>
      <c r="G11" s="98">
        <v>7200</v>
      </c>
      <c r="H11" s="93">
        <f t="shared" si="0"/>
        <v>7200</v>
      </c>
      <c r="I11" s="93">
        <f t="shared" si="1"/>
        <v>8784</v>
      </c>
      <c r="J11" s="91">
        <v>1</v>
      </c>
      <c r="K11" s="98">
        <v>9500</v>
      </c>
      <c r="L11" s="93">
        <f t="shared" si="2"/>
        <v>9500</v>
      </c>
      <c r="M11" s="93">
        <f t="shared" si="3"/>
        <v>11590</v>
      </c>
      <c r="N11" s="91">
        <v>1</v>
      </c>
      <c r="O11" s="98">
        <v>7200</v>
      </c>
      <c r="P11" s="93">
        <f t="shared" si="4"/>
        <v>7200</v>
      </c>
      <c r="Q11" s="93">
        <f t="shared" si="5"/>
        <v>8784</v>
      </c>
      <c r="R11" s="96">
        <v>2014</v>
      </c>
      <c r="S11" s="99">
        <f t="shared" si="6"/>
        <v>0</v>
      </c>
      <c r="T11" s="100">
        <f t="shared" si="7"/>
        <v>0.24210526315789471</v>
      </c>
      <c r="U11" s="101">
        <v>41908</v>
      </c>
      <c r="V11" s="101">
        <v>41926</v>
      </c>
      <c r="W11" s="101" t="s">
        <v>239</v>
      </c>
      <c r="X11" s="101" t="s">
        <v>238</v>
      </c>
      <c r="Y11" s="96" t="s">
        <v>121</v>
      </c>
      <c r="Z11" s="102" t="s">
        <v>128</v>
      </c>
      <c r="AA11" s="96" t="s">
        <v>266</v>
      </c>
      <c r="AB11" s="96" t="s">
        <v>129</v>
      </c>
      <c r="AC11" s="101">
        <v>42016</v>
      </c>
      <c r="AD11" s="102">
        <v>42025</v>
      </c>
      <c r="AE11" s="96" t="s">
        <v>265</v>
      </c>
      <c r="AF11" s="91" t="s">
        <v>1273</v>
      </c>
      <c r="AG11" s="91" t="s">
        <v>130</v>
      </c>
      <c r="AH11" s="96" t="s">
        <v>8</v>
      </c>
      <c r="AI11" s="91" t="s">
        <v>1541</v>
      </c>
    </row>
    <row r="12" spans="1:35" ht="24" x14ac:dyDescent="0.25">
      <c r="A12" s="96">
        <v>11</v>
      </c>
      <c r="B12" s="91" t="s">
        <v>8</v>
      </c>
      <c r="C12" s="97" t="s">
        <v>9</v>
      </c>
      <c r="D12" s="97" t="s">
        <v>12</v>
      </c>
      <c r="E12" s="97" t="s">
        <v>79</v>
      </c>
      <c r="F12" s="91">
        <v>2</v>
      </c>
      <c r="G12" s="98">
        <v>1322.21</v>
      </c>
      <c r="H12" s="93">
        <f t="shared" si="0"/>
        <v>2644.42</v>
      </c>
      <c r="I12" s="93">
        <f t="shared" si="1"/>
        <v>3226.1923999999999</v>
      </c>
      <c r="J12" s="91">
        <v>2</v>
      </c>
      <c r="K12" s="98">
        <v>1322.21</v>
      </c>
      <c r="L12" s="93">
        <f t="shared" si="2"/>
        <v>2644.42</v>
      </c>
      <c r="M12" s="93">
        <f t="shared" si="3"/>
        <v>3226.1923999999999</v>
      </c>
      <c r="N12" s="91">
        <v>2</v>
      </c>
      <c r="O12" s="98">
        <v>1275.4100000000001</v>
      </c>
      <c r="P12" s="93">
        <f t="shared" si="4"/>
        <v>2550.8200000000002</v>
      </c>
      <c r="Q12" s="93">
        <f t="shared" si="5"/>
        <v>3112.0004000000004</v>
      </c>
      <c r="R12" s="96">
        <v>2015</v>
      </c>
      <c r="S12" s="99">
        <f t="shared" si="6"/>
        <v>114.19199999999955</v>
      </c>
      <c r="T12" s="100">
        <f t="shared" si="7"/>
        <v>3.5395285166501367E-2</v>
      </c>
      <c r="U12" s="101">
        <v>42128</v>
      </c>
      <c r="V12" s="101">
        <v>42139</v>
      </c>
      <c r="W12" s="101">
        <v>42142</v>
      </c>
      <c r="X12" s="101">
        <v>42159</v>
      </c>
      <c r="Y12" s="96" t="s">
        <v>131</v>
      </c>
      <c r="Z12" s="96" t="s">
        <v>121</v>
      </c>
      <c r="AA12" s="96" t="s">
        <v>132</v>
      </c>
      <c r="AB12" s="96" t="s">
        <v>121</v>
      </c>
      <c r="AC12" s="101" t="s">
        <v>133</v>
      </c>
      <c r="AD12" s="102">
        <v>42348</v>
      </c>
      <c r="AE12" s="96" t="s">
        <v>287</v>
      </c>
      <c r="AF12" s="91" t="s">
        <v>1273</v>
      </c>
      <c r="AG12" s="91" t="s">
        <v>321</v>
      </c>
      <c r="AH12" s="96" t="s">
        <v>8</v>
      </c>
      <c r="AI12" s="91" t="s">
        <v>1541</v>
      </c>
    </row>
    <row r="13" spans="1:35" ht="24" x14ac:dyDescent="0.25">
      <c r="A13" s="96">
        <v>12</v>
      </c>
      <c r="B13" s="91" t="s">
        <v>8</v>
      </c>
      <c r="C13" s="97" t="s">
        <v>9</v>
      </c>
      <c r="D13" s="97" t="s">
        <v>18</v>
      </c>
      <c r="E13" s="97" t="s">
        <v>80</v>
      </c>
      <c r="F13" s="91">
        <v>2</v>
      </c>
      <c r="G13" s="98">
        <v>1280</v>
      </c>
      <c r="H13" s="93">
        <f t="shared" si="0"/>
        <v>2560</v>
      </c>
      <c r="I13" s="93">
        <f t="shared" si="1"/>
        <v>3123.2</v>
      </c>
      <c r="J13" s="91">
        <v>2</v>
      </c>
      <c r="K13" s="98">
        <v>3000</v>
      </c>
      <c r="L13" s="93">
        <f t="shared" si="2"/>
        <v>6000</v>
      </c>
      <c r="M13" s="93">
        <f t="shared" si="3"/>
        <v>7320</v>
      </c>
      <c r="N13" s="91">
        <v>2</v>
      </c>
      <c r="O13" s="98">
        <v>1280</v>
      </c>
      <c r="P13" s="93">
        <f t="shared" si="4"/>
        <v>2560</v>
      </c>
      <c r="Q13" s="93">
        <f t="shared" si="5"/>
        <v>3123.2</v>
      </c>
      <c r="R13" s="96">
        <v>2015</v>
      </c>
      <c r="S13" s="99">
        <f t="shared" si="6"/>
        <v>0</v>
      </c>
      <c r="T13" s="100">
        <f t="shared" si="7"/>
        <v>0.57333333333333336</v>
      </c>
      <c r="U13" s="101">
        <v>41926</v>
      </c>
      <c r="V13" s="101">
        <v>41939</v>
      </c>
      <c r="W13" s="101">
        <v>42047</v>
      </c>
      <c r="X13" s="101">
        <v>42052</v>
      </c>
      <c r="Y13" s="96" t="s">
        <v>136</v>
      </c>
      <c r="Z13" s="96" t="s">
        <v>121</v>
      </c>
      <c r="AA13" s="96" t="s">
        <v>137</v>
      </c>
      <c r="AB13" s="96" t="s">
        <v>121</v>
      </c>
      <c r="AC13" s="102">
        <v>42066</v>
      </c>
      <c r="AD13" s="102">
        <v>42076</v>
      </c>
      <c r="AE13" s="96" t="s">
        <v>134</v>
      </c>
      <c r="AF13" s="91" t="s">
        <v>1273</v>
      </c>
      <c r="AG13" s="91" t="s">
        <v>135</v>
      </c>
      <c r="AH13" s="96" t="s">
        <v>8</v>
      </c>
      <c r="AI13" s="91" t="s">
        <v>1541</v>
      </c>
    </row>
    <row r="14" spans="1:35" ht="24" x14ac:dyDescent="0.25">
      <c r="A14" s="96">
        <v>13</v>
      </c>
      <c r="B14" s="91" t="s">
        <v>8</v>
      </c>
      <c r="C14" s="97" t="s">
        <v>9</v>
      </c>
      <c r="D14" s="97" t="s">
        <v>18</v>
      </c>
      <c r="E14" s="97" t="s">
        <v>81</v>
      </c>
      <c r="F14" s="91">
        <v>1</v>
      </c>
      <c r="G14" s="98">
        <v>3100</v>
      </c>
      <c r="H14" s="93">
        <f t="shared" si="0"/>
        <v>3100</v>
      </c>
      <c r="I14" s="93">
        <f t="shared" si="1"/>
        <v>3782</v>
      </c>
      <c r="J14" s="91">
        <v>1</v>
      </c>
      <c r="K14" s="98">
        <v>4500</v>
      </c>
      <c r="L14" s="93">
        <f t="shared" si="2"/>
        <v>4500</v>
      </c>
      <c r="M14" s="93">
        <f t="shared" si="3"/>
        <v>5490</v>
      </c>
      <c r="N14" s="91">
        <v>1</v>
      </c>
      <c r="O14" s="98">
        <v>3100</v>
      </c>
      <c r="P14" s="93">
        <f t="shared" si="4"/>
        <v>3100</v>
      </c>
      <c r="Q14" s="93">
        <f t="shared" si="5"/>
        <v>3782</v>
      </c>
      <c r="R14" s="96">
        <v>2015</v>
      </c>
      <c r="S14" s="99">
        <f t="shared" si="6"/>
        <v>0</v>
      </c>
      <c r="T14" s="100">
        <f t="shared" si="7"/>
        <v>0.31111111111111112</v>
      </c>
      <c r="U14" s="101">
        <v>41926</v>
      </c>
      <c r="V14" s="101">
        <v>41940</v>
      </c>
      <c r="W14" s="101">
        <v>42048</v>
      </c>
      <c r="X14" s="101">
        <v>42052</v>
      </c>
      <c r="Y14" s="96" t="s">
        <v>138</v>
      </c>
      <c r="Z14" s="96" t="s">
        <v>121</v>
      </c>
      <c r="AA14" s="96" t="s">
        <v>139</v>
      </c>
      <c r="AB14" s="96" t="s">
        <v>121</v>
      </c>
      <c r="AC14" s="102">
        <v>42068</v>
      </c>
      <c r="AD14" s="102">
        <v>42094</v>
      </c>
      <c r="AE14" s="96" t="s">
        <v>140</v>
      </c>
      <c r="AF14" s="91" t="s">
        <v>1273</v>
      </c>
      <c r="AG14" s="91" t="s">
        <v>141</v>
      </c>
      <c r="AH14" s="96" t="s">
        <v>8</v>
      </c>
      <c r="AI14" s="91" t="s">
        <v>1541</v>
      </c>
    </row>
    <row r="15" spans="1:35" ht="24" x14ac:dyDescent="0.25">
      <c r="A15" s="96">
        <v>14</v>
      </c>
      <c r="B15" s="91" t="s">
        <v>8</v>
      </c>
      <c r="C15" s="97" t="s">
        <v>9</v>
      </c>
      <c r="D15" s="97" t="s">
        <v>18</v>
      </c>
      <c r="E15" s="97" t="s">
        <v>15</v>
      </c>
      <c r="F15" s="91">
        <v>2</v>
      </c>
      <c r="G15" s="98">
        <v>3679</v>
      </c>
      <c r="H15" s="93">
        <f t="shared" si="0"/>
        <v>7358</v>
      </c>
      <c r="I15" s="93">
        <f>H15*1.22</f>
        <v>8976.76</v>
      </c>
      <c r="J15" s="91">
        <v>2</v>
      </c>
      <c r="K15" s="98">
        <v>4000</v>
      </c>
      <c r="L15" s="93">
        <f t="shared" si="2"/>
        <v>8000</v>
      </c>
      <c r="M15" s="93">
        <f t="shared" si="3"/>
        <v>9760</v>
      </c>
      <c r="N15" s="91">
        <v>2</v>
      </c>
      <c r="O15" s="98">
        <v>3679</v>
      </c>
      <c r="P15" s="93">
        <f t="shared" si="4"/>
        <v>7358</v>
      </c>
      <c r="Q15" s="93">
        <f t="shared" si="5"/>
        <v>8976.76</v>
      </c>
      <c r="R15" s="96">
        <v>2015</v>
      </c>
      <c r="S15" s="99">
        <f t="shared" si="6"/>
        <v>0</v>
      </c>
      <c r="T15" s="100">
        <f t="shared" si="7"/>
        <v>8.0249999999999932E-2</v>
      </c>
      <c r="U15" s="101">
        <v>41934</v>
      </c>
      <c r="V15" s="101">
        <v>41950</v>
      </c>
      <c r="W15" s="101">
        <v>42058</v>
      </c>
      <c r="X15" s="101">
        <v>42066</v>
      </c>
      <c r="Y15" s="96" t="s">
        <v>142</v>
      </c>
      <c r="Z15" s="96" t="s">
        <v>121</v>
      </c>
      <c r="AA15" s="96" t="s">
        <v>143</v>
      </c>
      <c r="AB15" s="96" t="s">
        <v>121</v>
      </c>
      <c r="AC15" s="102">
        <v>42090</v>
      </c>
      <c r="AD15" s="102">
        <v>42107</v>
      </c>
      <c r="AE15" s="96" t="s">
        <v>144</v>
      </c>
      <c r="AF15" s="91" t="s">
        <v>1273</v>
      </c>
      <c r="AG15" s="91" t="s">
        <v>145</v>
      </c>
      <c r="AH15" s="96" t="s">
        <v>8</v>
      </c>
      <c r="AI15" s="91" t="s">
        <v>1541</v>
      </c>
    </row>
    <row r="16" spans="1:35" ht="24" x14ac:dyDescent="0.25">
      <c r="A16" s="96">
        <v>15</v>
      </c>
      <c r="B16" s="91" t="s">
        <v>8</v>
      </c>
      <c r="C16" s="97" t="s">
        <v>9</v>
      </c>
      <c r="D16" s="97" t="s">
        <v>82</v>
      </c>
      <c r="E16" s="97" t="s">
        <v>411</v>
      </c>
      <c r="F16" s="91">
        <v>1</v>
      </c>
      <c r="G16" s="98">
        <v>1430</v>
      </c>
      <c r="H16" s="93">
        <f t="shared" si="0"/>
        <v>1430</v>
      </c>
      <c r="I16" s="93">
        <f t="shared" si="1"/>
        <v>1744.6</v>
      </c>
      <c r="J16" s="91">
        <v>1</v>
      </c>
      <c r="K16" s="98">
        <v>1500</v>
      </c>
      <c r="L16" s="93">
        <f t="shared" si="2"/>
        <v>1500</v>
      </c>
      <c r="M16" s="93">
        <f t="shared" si="3"/>
        <v>1830</v>
      </c>
      <c r="N16" s="91">
        <v>1</v>
      </c>
      <c r="O16" s="98">
        <v>1430</v>
      </c>
      <c r="P16" s="93">
        <f t="shared" si="4"/>
        <v>1430</v>
      </c>
      <c r="Q16" s="93">
        <f t="shared" si="5"/>
        <v>1744.6</v>
      </c>
      <c r="R16" s="96">
        <v>2015</v>
      </c>
      <c r="S16" s="99">
        <f t="shared" si="6"/>
        <v>0</v>
      </c>
      <c r="T16" s="100">
        <f t="shared" si="7"/>
        <v>4.6666666666666745E-2</v>
      </c>
      <c r="U16" s="101">
        <v>41948</v>
      </c>
      <c r="V16" s="101">
        <v>41963</v>
      </c>
      <c r="W16" s="101">
        <v>42070</v>
      </c>
      <c r="X16" s="101">
        <v>42076</v>
      </c>
      <c r="Y16" s="96" t="s">
        <v>146</v>
      </c>
      <c r="Z16" s="96" t="s">
        <v>121</v>
      </c>
      <c r="AA16" s="96" t="s">
        <v>147</v>
      </c>
      <c r="AB16" s="96" t="s">
        <v>148</v>
      </c>
      <c r="AC16" s="102">
        <v>42124</v>
      </c>
      <c r="AD16" s="102">
        <v>42139</v>
      </c>
      <c r="AE16" s="96" t="s">
        <v>323</v>
      </c>
      <c r="AF16" s="91" t="s">
        <v>1273</v>
      </c>
      <c r="AG16" s="91" t="s">
        <v>448</v>
      </c>
      <c r="AH16" s="96" t="s">
        <v>8</v>
      </c>
      <c r="AI16" s="91" t="s">
        <v>1541</v>
      </c>
    </row>
    <row r="17" spans="1:35" ht="24" x14ac:dyDescent="0.25">
      <c r="A17" s="96">
        <v>16</v>
      </c>
      <c r="B17" s="91" t="s">
        <v>8</v>
      </c>
      <c r="C17" s="97" t="s">
        <v>9</v>
      </c>
      <c r="D17" s="97" t="s">
        <v>83</v>
      </c>
      <c r="E17" s="97" t="s">
        <v>15</v>
      </c>
      <c r="F17" s="91">
        <v>1</v>
      </c>
      <c r="G17" s="98">
        <v>3679</v>
      </c>
      <c r="H17" s="93">
        <f t="shared" si="0"/>
        <v>3679</v>
      </c>
      <c r="I17" s="93">
        <f t="shared" si="1"/>
        <v>4488.38</v>
      </c>
      <c r="J17" s="91">
        <v>1</v>
      </c>
      <c r="K17" s="98">
        <v>3679</v>
      </c>
      <c r="L17" s="93">
        <f t="shared" si="2"/>
        <v>3679</v>
      </c>
      <c r="M17" s="93">
        <f t="shared" si="3"/>
        <v>4488.38</v>
      </c>
      <c r="N17" s="91">
        <v>1</v>
      </c>
      <c r="O17" s="98">
        <v>3679</v>
      </c>
      <c r="P17" s="93">
        <f t="shared" si="4"/>
        <v>3679</v>
      </c>
      <c r="Q17" s="93">
        <f t="shared" si="5"/>
        <v>4488.38</v>
      </c>
      <c r="R17" s="96">
        <v>2015</v>
      </c>
      <c r="S17" s="99">
        <f t="shared" si="6"/>
        <v>0</v>
      </c>
      <c r="T17" s="100">
        <f t="shared" si="7"/>
        <v>0</v>
      </c>
      <c r="U17" s="101" t="s">
        <v>255</v>
      </c>
      <c r="V17" s="101" t="s">
        <v>256</v>
      </c>
      <c r="W17" s="101" t="s">
        <v>257</v>
      </c>
      <c r="X17" s="101" t="s">
        <v>257</v>
      </c>
      <c r="Y17" s="96" t="s">
        <v>149</v>
      </c>
      <c r="Z17" s="96" t="s">
        <v>121</v>
      </c>
      <c r="AA17" s="96" t="s">
        <v>150</v>
      </c>
      <c r="AB17" s="96" t="s">
        <v>121</v>
      </c>
      <c r="AC17" s="102">
        <v>42114</v>
      </c>
      <c r="AD17" s="102">
        <v>42129</v>
      </c>
      <c r="AE17" s="96" t="s">
        <v>151</v>
      </c>
      <c r="AF17" s="91" t="s">
        <v>1273</v>
      </c>
      <c r="AG17" s="91" t="s">
        <v>152</v>
      </c>
      <c r="AH17" s="96" t="s">
        <v>8</v>
      </c>
      <c r="AI17" s="91" t="s">
        <v>1541</v>
      </c>
    </row>
    <row r="18" spans="1:35" ht="24" x14ac:dyDescent="0.25">
      <c r="A18" s="96">
        <v>17</v>
      </c>
      <c r="B18" s="91" t="s">
        <v>8</v>
      </c>
      <c r="C18" s="97" t="s">
        <v>9</v>
      </c>
      <c r="D18" s="97" t="s">
        <v>83</v>
      </c>
      <c r="E18" s="97" t="s">
        <v>410</v>
      </c>
      <c r="F18" s="91">
        <v>1</v>
      </c>
      <c r="G18" s="98">
        <v>1900</v>
      </c>
      <c r="H18" s="93">
        <f t="shared" si="0"/>
        <v>1900</v>
      </c>
      <c r="I18" s="93">
        <f t="shared" si="1"/>
        <v>2318</v>
      </c>
      <c r="J18" s="91">
        <v>1</v>
      </c>
      <c r="K18" s="98">
        <v>2000</v>
      </c>
      <c r="L18" s="93">
        <f t="shared" si="2"/>
        <v>2000</v>
      </c>
      <c r="M18" s="93">
        <f t="shared" si="3"/>
        <v>2440</v>
      </c>
      <c r="N18" s="91">
        <v>1</v>
      </c>
      <c r="O18" s="98">
        <v>1900</v>
      </c>
      <c r="P18" s="93">
        <f t="shared" si="4"/>
        <v>1900</v>
      </c>
      <c r="Q18" s="93">
        <f t="shared" si="5"/>
        <v>2318</v>
      </c>
      <c r="R18" s="96">
        <v>2015</v>
      </c>
      <c r="S18" s="99">
        <f t="shared" si="6"/>
        <v>0</v>
      </c>
      <c r="T18" s="100">
        <f t="shared" si="7"/>
        <v>5.0000000000000044E-2</v>
      </c>
      <c r="U18" s="101">
        <v>41948</v>
      </c>
      <c r="V18" s="101">
        <v>41963</v>
      </c>
      <c r="W18" s="101">
        <v>42070</v>
      </c>
      <c r="X18" s="101">
        <v>42076</v>
      </c>
      <c r="Y18" s="96" t="s">
        <v>146</v>
      </c>
      <c r="Z18" s="96" t="s">
        <v>121</v>
      </c>
      <c r="AA18" s="96" t="s">
        <v>285</v>
      </c>
      <c r="AB18" s="96" t="s">
        <v>148</v>
      </c>
      <c r="AC18" s="102">
        <v>42124</v>
      </c>
      <c r="AD18" s="102">
        <v>42139</v>
      </c>
      <c r="AE18" s="96" t="s">
        <v>323</v>
      </c>
      <c r="AF18" s="91" t="s">
        <v>1273</v>
      </c>
      <c r="AG18" s="91" t="s">
        <v>448</v>
      </c>
      <c r="AH18" s="96" t="s">
        <v>8</v>
      </c>
      <c r="AI18" s="91" t="s">
        <v>1541</v>
      </c>
    </row>
    <row r="19" spans="1:35" ht="24" x14ac:dyDescent="0.25">
      <c r="A19" s="96">
        <v>18</v>
      </c>
      <c r="B19" s="91" t="s">
        <v>8</v>
      </c>
      <c r="C19" s="97" t="s">
        <v>9</v>
      </c>
      <c r="D19" s="97" t="s">
        <v>44</v>
      </c>
      <c r="E19" s="97" t="s">
        <v>42</v>
      </c>
      <c r="F19" s="91">
        <v>2</v>
      </c>
      <c r="G19" s="98">
        <v>34000</v>
      </c>
      <c r="H19" s="93">
        <f t="shared" si="0"/>
        <v>68000</v>
      </c>
      <c r="I19" s="93">
        <f t="shared" si="1"/>
        <v>82960</v>
      </c>
      <c r="J19" s="222">
        <v>2</v>
      </c>
      <c r="K19" s="227">
        <v>34000</v>
      </c>
      <c r="L19" s="221">
        <f t="shared" si="2"/>
        <v>68000</v>
      </c>
      <c r="M19" s="221">
        <f t="shared" si="3"/>
        <v>82960</v>
      </c>
      <c r="N19" s="222">
        <v>2</v>
      </c>
      <c r="O19" s="227">
        <v>33345</v>
      </c>
      <c r="P19" s="221">
        <f t="shared" si="4"/>
        <v>66690</v>
      </c>
      <c r="Q19" s="93">
        <f t="shared" si="5"/>
        <v>81361.8</v>
      </c>
      <c r="R19" s="96">
        <v>2015</v>
      </c>
      <c r="S19" s="99">
        <f t="shared" si="6"/>
        <v>1598.1999999999971</v>
      </c>
      <c r="T19" s="100">
        <f t="shared" si="7"/>
        <v>1.9264705882352962E-2</v>
      </c>
      <c r="U19" s="101" t="s">
        <v>253</v>
      </c>
      <c r="V19" s="101" t="s">
        <v>254</v>
      </c>
      <c r="W19" s="101" t="s">
        <v>242</v>
      </c>
      <c r="X19" s="101">
        <v>42368</v>
      </c>
      <c r="Y19" s="96" t="s">
        <v>260</v>
      </c>
      <c r="Z19" s="96" t="s">
        <v>121</v>
      </c>
      <c r="AA19" s="96" t="s">
        <v>252</v>
      </c>
      <c r="AB19" s="96" t="s">
        <v>251</v>
      </c>
      <c r="AC19" s="101">
        <v>42416</v>
      </c>
      <c r="AD19" s="102">
        <v>42419</v>
      </c>
      <c r="AE19" s="96" t="s">
        <v>349</v>
      </c>
      <c r="AF19" s="91" t="s">
        <v>1273</v>
      </c>
      <c r="AG19" s="91" t="s">
        <v>447</v>
      </c>
      <c r="AH19" s="96" t="s">
        <v>8</v>
      </c>
      <c r="AI19" s="91" t="s">
        <v>1541</v>
      </c>
    </row>
    <row r="20" spans="1:35" ht="48" x14ac:dyDescent="0.25">
      <c r="A20" s="4">
        <v>19</v>
      </c>
      <c r="B20" s="6" t="s">
        <v>8</v>
      </c>
      <c r="C20" s="9" t="s">
        <v>9</v>
      </c>
      <c r="D20" s="9" t="s">
        <v>1231</v>
      </c>
      <c r="E20" s="9" t="s">
        <v>1232</v>
      </c>
      <c r="F20" s="6">
        <v>0</v>
      </c>
      <c r="G20" s="7">
        <v>26873.08</v>
      </c>
      <c r="H20" s="7">
        <f t="shared" ref="H20" si="8">F20*G20</f>
        <v>0</v>
      </c>
      <c r="I20" s="7">
        <f t="shared" ref="I20" si="9">H20*1.22</f>
        <v>0</v>
      </c>
      <c r="J20" s="6">
        <v>1</v>
      </c>
      <c r="K20" s="7">
        <f>26873.08+157.2</f>
        <v>27030.280000000002</v>
      </c>
      <c r="L20" s="7">
        <f t="shared" ref="L20" si="10">J20*K20</f>
        <v>27030.280000000002</v>
      </c>
      <c r="M20" s="7">
        <f t="shared" ref="M20" si="11">L20*1.22</f>
        <v>32976.941600000006</v>
      </c>
      <c r="N20" s="6">
        <v>1</v>
      </c>
      <c r="O20" s="10">
        <f>15480.6+10023.75</f>
        <v>25504.35</v>
      </c>
      <c r="P20" s="7">
        <f t="shared" ref="P20" si="12">N20*O20</f>
        <v>25504.35</v>
      </c>
      <c r="Q20" s="7">
        <f t="shared" ref="Q20" si="13">P20*1.22</f>
        <v>31115.306999999997</v>
      </c>
      <c r="R20" s="4">
        <v>2020</v>
      </c>
      <c r="S20" s="19">
        <f t="shared" ref="S20:S21" si="14">I20-Q20</f>
        <v>-31115.306999999997</v>
      </c>
      <c r="T20" s="48">
        <f t="shared" ref="T20:T21" si="15">1-Q20/M20</f>
        <v>5.6452615363215108E-2</v>
      </c>
      <c r="U20" s="20" t="s">
        <v>1499</v>
      </c>
      <c r="V20" s="20" t="s">
        <v>1498</v>
      </c>
      <c r="W20" s="20" t="s">
        <v>1497</v>
      </c>
      <c r="X20" s="20" t="s">
        <v>1496</v>
      </c>
      <c r="Y20" s="20" t="s">
        <v>1534</v>
      </c>
      <c r="Z20" s="6" t="s">
        <v>1500</v>
      </c>
      <c r="AA20" s="6" t="s">
        <v>1494</v>
      </c>
      <c r="AB20" s="6" t="s">
        <v>1495</v>
      </c>
      <c r="AC20" s="20" t="s">
        <v>1516</v>
      </c>
      <c r="AD20" s="20" t="s">
        <v>1533</v>
      </c>
      <c r="AE20" s="4" t="s">
        <v>1482</v>
      </c>
      <c r="AF20" s="4" t="s">
        <v>1606</v>
      </c>
      <c r="AG20" s="6" t="s">
        <v>1483</v>
      </c>
      <c r="AH20" s="4" t="s">
        <v>8</v>
      </c>
      <c r="AI20" s="69" t="s">
        <v>1542</v>
      </c>
    </row>
    <row r="21" spans="1:35" ht="48" x14ac:dyDescent="0.25">
      <c r="A21" s="96">
        <v>20</v>
      </c>
      <c r="B21" s="91" t="s">
        <v>8</v>
      </c>
      <c r="C21" s="97" t="s">
        <v>9</v>
      </c>
      <c r="D21" s="97" t="s">
        <v>523</v>
      </c>
      <c r="E21" s="97" t="s">
        <v>37</v>
      </c>
      <c r="F21" s="91">
        <v>0</v>
      </c>
      <c r="G21" s="93">
        <f>15720</f>
        <v>15720</v>
      </c>
      <c r="H21" s="93">
        <f t="shared" ref="H21" si="16">F21*G21</f>
        <v>0</v>
      </c>
      <c r="I21" s="93">
        <f t="shared" ref="I21" si="17">H21*1.22</f>
        <v>0</v>
      </c>
      <c r="J21" s="91">
        <v>1</v>
      </c>
      <c r="K21" s="93">
        <f>5338750/225</f>
        <v>23727.777777777777</v>
      </c>
      <c r="L21" s="93">
        <f t="shared" ref="L21" si="18">J21*K21</f>
        <v>23727.777777777777</v>
      </c>
      <c r="M21" s="93">
        <f t="shared" ref="M21" si="19">L21*1.22</f>
        <v>28947.888888888887</v>
      </c>
      <c r="N21" s="91">
        <v>1</v>
      </c>
      <c r="O21" s="98">
        <f>15720*0.99</f>
        <v>15562.8</v>
      </c>
      <c r="P21" s="93">
        <f t="shared" ref="P21" si="20">N21*O21</f>
        <v>15562.8</v>
      </c>
      <c r="Q21" s="93">
        <f t="shared" ref="Q21" si="21">P21*1.22</f>
        <v>18986.615999999998</v>
      </c>
      <c r="R21" s="96">
        <v>2020</v>
      </c>
      <c r="S21" s="99">
        <f t="shared" si="14"/>
        <v>-18986.615999999998</v>
      </c>
      <c r="T21" s="100">
        <f t="shared" si="15"/>
        <v>0.34411051276047766</v>
      </c>
      <c r="U21" s="101">
        <v>43446</v>
      </c>
      <c r="V21" s="101" t="s">
        <v>1233</v>
      </c>
      <c r="W21" s="101">
        <v>43900</v>
      </c>
      <c r="X21" s="101">
        <v>43959</v>
      </c>
      <c r="Y21" s="91" t="s">
        <v>1234</v>
      </c>
      <c r="Z21" s="96" t="s">
        <v>1235</v>
      </c>
      <c r="AA21" s="91" t="s">
        <v>1236</v>
      </c>
      <c r="AB21" s="96" t="s">
        <v>1237</v>
      </c>
      <c r="AC21" s="101">
        <v>44081</v>
      </c>
      <c r="AD21" s="102">
        <v>44084</v>
      </c>
      <c r="AE21" s="96" t="s">
        <v>1277</v>
      </c>
      <c r="AF21" s="96" t="s">
        <v>1375</v>
      </c>
      <c r="AG21" s="96" t="s">
        <v>1287</v>
      </c>
      <c r="AH21" s="96" t="s">
        <v>8</v>
      </c>
      <c r="AI21" s="91" t="s">
        <v>1543</v>
      </c>
    </row>
    <row r="22" spans="1:35" ht="13.15" customHeight="1" x14ac:dyDescent="0.25">
      <c r="A22" s="433" t="s">
        <v>59</v>
      </c>
      <c r="B22" s="434"/>
      <c r="C22" s="434"/>
      <c r="D22" s="434"/>
      <c r="E22" s="434"/>
      <c r="F22" s="434"/>
      <c r="G22" s="434"/>
      <c r="H22" s="434"/>
      <c r="I22" s="35">
        <f>SUM(I2:I21)</f>
        <v>999105.08467999985</v>
      </c>
      <c r="J22" s="228"/>
      <c r="K22" s="228"/>
      <c r="L22" s="228"/>
      <c r="M22" s="228"/>
      <c r="N22" s="229"/>
      <c r="O22" s="229"/>
      <c r="P22" s="229"/>
      <c r="Q22" s="56">
        <f>SUM(Q2:Q21)</f>
        <v>997243.44520000007</v>
      </c>
      <c r="S22" s="230">
        <f>SUM(S2:S21)</f>
        <v>1861.6394799999835</v>
      </c>
      <c r="T22" s="231"/>
      <c r="U22" s="232"/>
      <c r="V22" s="232"/>
      <c r="W22" s="232"/>
      <c r="X22" s="232"/>
    </row>
    <row r="23" spans="1:35" ht="12.2" x14ac:dyDescent="0.25">
      <c r="S23" s="233"/>
    </row>
    <row r="24" spans="1:35" ht="12.2" x14ac:dyDescent="0.25">
      <c r="S24" s="233"/>
    </row>
    <row r="25" spans="1:35" ht="11.65" x14ac:dyDescent="0.25">
      <c r="S25" s="11">
        <f>10023.75*1.22</f>
        <v>12228.975</v>
      </c>
    </row>
    <row r="26" spans="1:35" ht="11.65" x14ac:dyDescent="0.25">
      <c r="S26" s="284">
        <f>S25+S22</f>
        <v>14090.614479999984</v>
      </c>
    </row>
  </sheetData>
  <autoFilter ref="A1:IV24"/>
  <mergeCells count="1">
    <mergeCell ref="A22:H22"/>
  </mergeCells>
  <phoneticPr fontId="0" type="noConversion"/>
  <printOptions horizontalCentered="1"/>
  <pageMargins left="0" right="0" top="0.39370078740157483" bottom="0.39370078740157483" header="0.23622047244094491" footer="0.23622047244094491"/>
  <pageSetup paperSize="9" scale="56" orientation="landscape" r:id="rId1"/>
  <headerFooter alignWithMargins="0">
    <oddHeader xml:space="preserve">&amp;CD.G.R. 402-1668-1672/2015 -  CUP D16J15000400006
</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3"/>
  <sheetViews>
    <sheetView workbookViewId="0">
      <selection activeCell="AG9" sqref="AG9"/>
    </sheetView>
  </sheetViews>
  <sheetFormatPr defaultColWidth="8.85546875" defaultRowHeight="12" x14ac:dyDescent="0.2"/>
  <cols>
    <col min="1" max="1" width="4" style="308" bestFit="1" customWidth="1"/>
    <col min="2" max="2" width="6.28515625" style="308" customWidth="1"/>
    <col min="3" max="3" width="23" style="308" customWidth="1"/>
    <col min="4" max="4" width="28.5703125" style="308" customWidth="1"/>
    <col min="5" max="5" width="35.7109375" style="308" customWidth="1"/>
    <col min="6" max="6" width="6.140625" style="308" customWidth="1"/>
    <col min="7" max="7" width="12.140625" style="313" customWidth="1"/>
    <col min="8" max="9" width="15.42578125" style="313" bestFit="1" customWidth="1"/>
    <col min="10" max="14" width="8.85546875" style="308"/>
    <col min="15" max="15" width="8.85546875" style="331"/>
    <col min="16" max="25" width="8.85546875" style="308"/>
    <col min="26" max="26" width="15.140625" style="334" customWidth="1"/>
    <col min="27" max="27" width="23.140625" style="308" customWidth="1"/>
    <col min="28" max="28" width="8.85546875" style="308"/>
    <col min="29" max="30" width="9.5703125" style="308" bestFit="1" customWidth="1"/>
    <col min="31" max="34" width="8.85546875" style="308"/>
    <col min="35" max="35" width="13.42578125" style="308" bestFit="1" customWidth="1"/>
    <col min="36" max="16384" width="8.85546875" style="308"/>
  </cols>
  <sheetData>
    <row r="1" spans="1:35" ht="11.65" x14ac:dyDescent="0.2">
      <c r="A1" s="489" t="s">
        <v>1711</v>
      </c>
      <c r="B1" s="490"/>
      <c r="C1" s="490"/>
      <c r="D1" s="490"/>
      <c r="E1" s="490"/>
      <c r="F1" s="490"/>
      <c r="G1" s="490"/>
      <c r="H1" s="490"/>
      <c r="I1" s="490"/>
    </row>
    <row r="2" spans="1:35" ht="72" x14ac:dyDescent="0.2">
      <c r="A2" s="309" t="s">
        <v>0</v>
      </c>
      <c r="B2" s="310" t="s">
        <v>1</v>
      </c>
      <c r="C2" s="310" t="s">
        <v>2</v>
      </c>
      <c r="D2" s="310" t="s">
        <v>3</v>
      </c>
      <c r="E2" s="310" t="s">
        <v>4</v>
      </c>
      <c r="F2" s="310" t="s">
        <v>5</v>
      </c>
      <c r="G2" s="311" t="s">
        <v>186</v>
      </c>
      <c r="H2" s="311" t="s">
        <v>92</v>
      </c>
      <c r="I2" s="311" t="s">
        <v>61</v>
      </c>
      <c r="J2" s="66" t="s">
        <v>5</v>
      </c>
      <c r="K2" s="189" t="s">
        <v>105</v>
      </c>
      <c r="L2" s="66" t="s">
        <v>92</v>
      </c>
      <c r="M2" s="66" t="s">
        <v>61</v>
      </c>
      <c r="N2" s="66" t="s">
        <v>5</v>
      </c>
      <c r="O2" s="332" t="s">
        <v>67</v>
      </c>
      <c r="P2" s="66" t="s">
        <v>6</v>
      </c>
      <c r="Q2" s="66" t="s">
        <v>7</v>
      </c>
      <c r="R2" s="291" t="s">
        <v>313</v>
      </c>
      <c r="S2" s="66" t="s">
        <v>93</v>
      </c>
      <c r="T2" s="66" t="s">
        <v>267</v>
      </c>
      <c r="U2" s="66" t="s">
        <v>106</v>
      </c>
      <c r="V2" s="66" t="s">
        <v>107</v>
      </c>
      <c r="W2" s="66" t="s">
        <v>108</v>
      </c>
      <c r="X2" s="66" t="s">
        <v>109</v>
      </c>
      <c r="Y2" s="66" t="s">
        <v>110</v>
      </c>
      <c r="Z2" s="290" t="s">
        <v>111</v>
      </c>
      <c r="AA2" s="66" t="s">
        <v>112</v>
      </c>
      <c r="AB2" s="66" t="s">
        <v>113</v>
      </c>
      <c r="AC2" s="66" t="s">
        <v>114</v>
      </c>
      <c r="AD2" s="66" t="s">
        <v>115</v>
      </c>
      <c r="AE2" s="66" t="s">
        <v>116</v>
      </c>
      <c r="AF2" s="66" t="s">
        <v>117</v>
      </c>
      <c r="AG2" s="66" t="s">
        <v>118</v>
      </c>
      <c r="AH2" s="64" t="s">
        <v>1544</v>
      </c>
      <c r="AI2" s="64" t="s">
        <v>1540</v>
      </c>
    </row>
    <row r="3" spans="1:35" x14ac:dyDescent="0.2">
      <c r="A3" s="392">
        <v>1</v>
      </c>
      <c r="B3" s="392" t="s">
        <v>8</v>
      </c>
      <c r="C3" s="258" t="s">
        <v>1912</v>
      </c>
      <c r="D3" s="285" t="s">
        <v>39</v>
      </c>
      <c r="E3" s="285" t="s">
        <v>210</v>
      </c>
      <c r="F3" s="346">
        <v>1</v>
      </c>
      <c r="G3" s="386">
        <v>65000</v>
      </c>
      <c r="H3" s="386">
        <f>F3*G3</f>
        <v>65000</v>
      </c>
      <c r="I3" s="386">
        <f>H3*1.22</f>
        <v>79300</v>
      </c>
      <c r="J3" s="330"/>
      <c r="K3" s="330"/>
      <c r="L3" s="330"/>
      <c r="M3" s="330"/>
      <c r="N3" s="330"/>
      <c r="O3" s="333"/>
      <c r="P3" s="330"/>
      <c r="Q3" s="330"/>
      <c r="R3" s="330"/>
      <c r="S3" s="330"/>
      <c r="T3" s="330"/>
      <c r="U3" s="330"/>
      <c r="V3" s="330"/>
      <c r="W3" s="330"/>
      <c r="X3" s="330"/>
      <c r="Y3" s="330"/>
      <c r="Z3" s="335"/>
      <c r="AA3" s="330"/>
      <c r="AB3" s="330"/>
      <c r="AC3" s="330"/>
      <c r="AD3" s="330"/>
      <c r="AE3" s="330"/>
      <c r="AF3" s="330"/>
      <c r="AG3" s="330"/>
      <c r="AH3" s="330" t="s">
        <v>8</v>
      </c>
      <c r="AI3" s="330" t="s">
        <v>1895</v>
      </c>
    </row>
    <row r="4" spans="1:35" x14ac:dyDescent="0.2">
      <c r="A4" s="392">
        <v>2</v>
      </c>
      <c r="B4" s="392" t="s">
        <v>8</v>
      </c>
      <c r="C4" s="258" t="s">
        <v>1912</v>
      </c>
      <c r="D4" s="285" t="s">
        <v>1913</v>
      </c>
      <c r="E4" s="258" t="s">
        <v>1914</v>
      </c>
      <c r="F4" s="392">
        <v>1</v>
      </c>
      <c r="G4" s="386">
        <v>25000</v>
      </c>
      <c r="H4" s="386">
        <f t="shared" ref="H4:H12" si="0">F4*G4</f>
        <v>25000</v>
      </c>
      <c r="I4" s="386">
        <f t="shared" ref="I4:I12" si="1">H4*1.22</f>
        <v>30500</v>
      </c>
      <c r="J4" s="330"/>
      <c r="K4" s="330"/>
      <c r="L4" s="330"/>
      <c r="M4" s="330"/>
      <c r="N4" s="330"/>
      <c r="O4" s="333"/>
      <c r="P4" s="330"/>
      <c r="Q4" s="330"/>
      <c r="R4" s="330"/>
      <c r="S4" s="330"/>
      <c r="T4" s="330"/>
      <c r="U4" s="330"/>
      <c r="V4" s="330"/>
      <c r="W4" s="330"/>
      <c r="X4" s="330"/>
      <c r="Y4" s="330"/>
      <c r="Z4" s="335"/>
      <c r="AA4" s="330"/>
      <c r="AB4" s="330"/>
      <c r="AC4" s="330"/>
      <c r="AD4" s="330"/>
      <c r="AE4" s="330"/>
      <c r="AF4" s="330"/>
      <c r="AG4" s="330"/>
      <c r="AH4" s="330" t="s">
        <v>8</v>
      </c>
      <c r="AI4" s="330" t="s">
        <v>1895</v>
      </c>
    </row>
    <row r="5" spans="1:35" x14ac:dyDescent="0.2">
      <c r="A5" s="392">
        <v>3</v>
      </c>
      <c r="B5" s="392" t="s">
        <v>8</v>
      </c>
      <c r="C5" s="258" t="s">
        <v>1912</v>
      </c>
      <c r="D5" s="285" t="s">
        <v>1913</v>
      </c>
      <c r="E5" s="258" t="s">
        <v>208</v>
      </c>
      <c r="F5" s="392">
        <v>1</v>
      </c>
      <c r="G5" s="386">
        <v>10000</v>
      </c>
      <c r="H5" s="386">
        <f t="shared" si="0"/>
        <v>10000</v>
      </c>
      <c r="I5" s="386">
        <f t="shared" si="1"/>
        <v>12200</v>
      </c>
      <c r="J5" s="330"/>
      <c r="K5" s="330"/>
      <c r="L5" s="330"/>
      <c r="M5" s="330"/>
      <c r="N5" s="330"/>
      <c r="O5" s="333"/>
      <c r="P5" s="330"/>
      <c r="Q5" s="330"/>
      <c r="R5" s="330"/>
      <c r="S5" s="330"/>
      <c r="T5" s="330"/>
      <c r="U5" s="330"/>
      <c r="V5" s="330"/>
      <c r="W5" s="330"/>
      <c r="X5" s="330"/>
      <c r="Y5" s="330"/>
      <c r="Z5" s="335"/>
      <c r="AA5" s="330"/>
      <c r="AB5" s="330"/>
      <c r="AC5" s="330"/>
      <c r="AD5" s="330"/>
      <c r="AE5" s="330"/>
      <c r="AF5" s="330"/>
      <c r="AG5" s="330"/>
      <c r="AH5" s="330" t="s">
        <v>8</v>
      </c>
      <c r="AI5" s="330" t="s">
        <v>1895</v>
      </c>
    </row>
    <row r="6" spans="1:35" x14ac:dyDescent="0.2">
      <c r="A6" s="392">
        <v>4</v>
      </c>
      <c r="B6" s="392" t="s">
        <v>8</v>
      </c>
      <c r="C6" s="258" t="s">
        <v>1912</v>
      </c>
      <c r="D6" s="285" t="s">
        <v>1913</v>
      </c>
      <c r="E6" s="285" t="s">
        <v>24</v>
      </c>
      <c r="F6" s="346">
        <v>2</v>
      </c>
      <c r="G6" s="386">
        <v>7500</v>
      </c>
      <c r="H6" s="386">
        <f t="shared" si="0"/>
        <v>15000</v>
      </c>
      <c r="I6" s="386">
        <f t="shared" si="1"/>
        <v>18300</v>
      </c>
      <c r="J6" s="330"/>
      <c r="K6" s="330"/>
      <c r="L6" s="330"/>
      <c r="M6" s="330"/>
      <c r="N6" s="330"/>
      <c r="O6" s="333"/>
      <c r="P6" s="333"/>
      <c r="Q6" s="333"/>
      <c r="R6" s="330"/>
      <c r="S6" s="333"/>
      <c r="T6" s="330"/>
      <c r="U6" s="330"/>
      <c r="V6" s="330"/>
      <c r="W6" s="330"/>
      <c r="X6" s="330"/>
      <c r="Y6" s="330"/>
      <c r="Z6" s="335"/>
      <c r="AA6" s="330"/>
      <c r="AB6" s="330"/>
      <c r="AC6" s="330"/>
      <c r="AD6" s="330"/>
      <c r="AE6" s="330"/>
      <c r="AF6" s="330"/>
      <c r="AG6" s="330"/>
      <c r="AH6" s="330" t="s">
        <v>8</v>
      </c>
      <c r="AI6" s="330" t="s">
        <v>1895</v>
      </c>
    </row>
    <row r="7" spans="1:35" x14ac:dyDescent="0.2">
      <c r="A7" s="392">
        <v>5</v>
      </c>
      <c r="B7" s="392" t="s">
        <v>8</v>
      </c>
      <c r="C7" s="258" t="s">
        <v>1912</v>
      </c>
      <c r="D7" s="285" t="s">
        <v>1913</v>
      </c>
      <c r="E7" s="285" t="s">
        <v>1915</v>
      </c>
      <c r="F7" s="392">
        <v>2</v>
      </c>
      <c r="G7" s="386">
        <v>6000</v>
      </c>
      <c r="H7" s="386">
        <f t="shared" si="0"/>
        <v>12000</v>
      </c>
      <c r="I7" s="386">
        <f t="shared" si="1"/>
        <v>14640</v>
      </c>
      <c r="J7" s="330"/>
      <c r="K7" s="330"/>
      <c r="L7" s="330"/>
      <c r="M7" s="330"/>
      <c r="N7" s="330"/>
      <c r="O7" s="333"/>
      <c r="P7" s="333"/>
      <c r="Q7" s="333"/>
      <c r="R7" s="330"/>
      <c r="S7" s="333"/>
      <c r="T7" s="330"/>
      <c r="U7" s="330"/>
      <c r="V7" s="330"/>
      <c r="W7" s="330"/>
      <c r="X7" s="330"/>
      <c r="Y7" s="330"/>
      <c r="Z7" s="335"/>
      <c r="AA7" s="330"/>
      <c r="AB7" s="330"/>
      <c r="AC7" s="330"/>
      <c r="AD7" s="330"/>
      <c r="AE7" s="330"/>
      <c r="AF7" s="330"/>
      <c r="AG7" s="330"/>
      <c r="AH7" s="330" t="s">
        <v>8</v>
      </c>
      <c r="AI7" s="330" t="s">
        <v>1895</v>
      </c>
    </row>
    <row r="8" spans="1:35" x14ac:dyDescent="0.2">
      <c r="A8" s="392">
        <v>6</v>
      </c>
      <c r="B8" s="392" t="s">
        <v>8</v>
      </c>
      <c r="C8" s="258" t="s">
        <v>1912</v>
      </c>
      <c r="D8" s="285" t="s">
        <v>39</v>
      </c>
      <c r="E8" s="285" t="s">
        <v>1723</v>
      </c>
      <c r="F8" s="346">
        <v>1</v>
      </c>
      <c r="G8" s="386">
        <v>175586.88500000001</v>
      </c>
      <c r="H8" s="386">
        <f t="shared" si="0"/>
        <v>175586.88500000001</v>
      </c>
      <c r="I8" s="386">
        <f t="shared" si="1"/>
        <v>214215.99970000001</v>
      </c>
      <c r="J8" s="330"/>
      <c r="K8" s="330"/>
      <c r="L8" s="330"/>
      <c r="M8" s="330"/>
      <c r="N8" s="330"/>
      <c r="O8" s="333"/>
      <c r="P8" s="333"/>
      <c r="Q8" s="333"/>
      <c r="R8" s="330"/>
      <c r="S8" s="333"/>
      <c r="T8" s="330"/>
      <c r="U8" s="330"/>
      <c r="V8" s="330"/>
      <c r="W8" s="330"/>
      <c r="X8" s="330"/>
      <c r="Y8" s="330"/>
      <c r="Z8" s="335"/>
      <c r="AA8" s="330"/>
      <c r="AB8" s="330"/>
      <c r="AC8" s="330"/>
      <c r="AD8" s="330"/>
      <c r="AE8" s="330"/>
      <c r="AF8" s="330"/>
      <c r="AG8" s="330"/>
      <c r="AH8" s="330" t="s">
        <v>8</v>
      </c>
      <c r="AI8" s="330" t="s">
        <v>1895</v>
      </c>
    </row>
    <row r="9" spans="1:35" ht="48" x14ac:dyDescent="0.2">
      <c r="A9" s="393" t="s">
        <v>1145</v>
      </c>
      <c r="B9" s="393" t="s">
        <v>8</v>
      </c>
      <c r="C9" s="258" t="s">
        <v>1912</v>
      </c>
      <c r="D9" s="285" t="s">
        <v>1913</v>
      </c>
      <c r="E9" s="285" t="s">
        <v>1924</v>
      </c>
      <c r="F9" s="346">
        <v>1</v>
      </c>
      <c r="G9" s="386">
        <v>45000</v>
      </c>
      <c r="H9" s="386">
        <f t="shared" si="0"/>
        <v>45000</v>
      </c>
      <c r="I9" s="386">
        <f t="shared" si="1"/>
        <v>54900</v>
      </c>
      <c r="J9" s="330"/>
      <c r="K9" s="330"/>
      <c r="L9" s="330"/>
      <c r="M9" s="330"/>
      <c r="N9" s="330">
        <v>1</v>
      </c>
      <c r="O9" s="333">
        <v>23535</v>
      </c>
      <c r="P9" s="333">
        <f>N9*O9</f>
        <v>23535</v>
      </c>
      <c r="Q9" s="333">
        <f>P9*1.05</f>
        <v>24711.75</v>
      </c>
      <c r="R9" s="330">
        <v>2022</v>
      </c>
      <c r="S9" s="333">
        <f>I9-Q9</f>
        <v>30188.25</v>
      </c>
      <c r="T9" s="330"/>
      <c r="U9" s="330"/>
      <c r="V9" s="330"/>
      <c r="W9" s="330"/>
      <c r="X9" s="330"/>
      <c r="Y9" s="330"/>
      <c r="Z9" s="335" t="s">
        <v>1932</v>
      </c>
      <c r="AA9" s="330" t="s">
        <v>1931</v>
      </c>
      <c r="AB9" s="405" t="s">
        <v>1968</v>
      </c>
      <c r="AC9" s="391">
        <v>44985</v>
      </c>
      <c r="AD9" s="391">
        <v>44985</v>
      </c>
      <c r="AE9" s="330" t="s">
        <v>2078</v>
      </c>
      <c r="AF9" s="330"/>
      <c r="AG9" s="330"/>
      <c r="AH9" s="330" t="s">
        <v>8</v>
      </c>
      <c r="AI9" s="330" t="s">
        <v>1900</v>
      </c>
    </row>
    <row r="10" spans="1:35" ht="24" x14ac:dyDescent="0.2">
      <c r="A10" s="408" t="s">
        <v>1146</v>
      </c>
      <c r="B10" s="408" t="s">
        <v>8</v>
      </c>
      <c r="C10" s="258" t="s">
        <v>1912</v>
      </c>
      <c r="D10" s="285" t="s">
        <v>1913</v>
      </c>
      <c r="E10" s="285" t="s">
        <v>1967</v>
      </c>
      <c r="F10" s="346">
        <v>0</v>
      </c>
      <c r="G10" s="386">
        <v>0</v>
      </c>
      <c r="H10" s="386">
        <v>0</v>
      </c>
      <c r="I10" s="386">
        <f t="shared" si="1"/>
        <v>0</v>
      </c>
      <c r="J10" s="417">
        <v>2</v>
      </c>
      <c r="K10" s="418">
        <f>L10/J10</f>
        <v>2497.5</v>
      </c>
      <c r="L10" s="322">
        <v>4995</v>
      </c>
      <c r="M10" s="419">
        <f>L10*1.22</f>
        <v>6093.9</v>
      </c>
      <c r="N10" s="330"/>
      <c r="O10" s="333"/>
      <c r="P10" s="333"/>
      <c r="Q10" s="333"/>
      <c r="R10" s="330"/>
      <c r="S10" s="333"/>
      <c r="T10" s="330"/>
      <c r="U10" s="330"/>
      <c r="V10" s="330"/>
      <c r="W10" s="330"/>
      <c r="X10" s="330"/>
      <c r="Y10" s="330"/>
      <c r="Z10" s="335"/>
      <c r="AA10" s="330"/>
      <c r="AB10" s="330"/>
      <c r="AC10" s="330"/>
      <c r="AD10" s="330"/>
      <c r="AE10" s="330"/>
      <c r="AF10" s="330"/>
      <c r="AG10" s="330"/>
      <c r="AH10" s="330" t="s">
        <v>8</v>
      </c>
      <c r="AI10" s="330" t="s">
        <v>1895</v>
      </c>
    </row>
    <row r="11" spans="1:35" ht="24" x14ac:dyDescent="0.2">
      <c r="A11" s="392">
        <v>9</v>
      </c>
      <c r="B11" s="392" t="s">
        <v>8</v>
      </c>
      <c r="C11" s="258" t="s">
        <v>1912</v>
      </c>
      <c r="D11" s="285" t="s">
        <v>1916</v>
      </c>
      <c r="E11" s="258" t="s">
        <v>1925</v>
      </c>
      <c r="F11" s="392">
        <v>1</v>
      </c>
      <c r="G11" s="386">
        <v>150000</v>
      </c>
      <c r="H11" s="386">
        <f t="shared" si="0"/>
        <v>150000</v>
      </c>
      <c r="I11" s="386">
        <f t="shared" si="1"/>
        <v>183000</v>
      </c>
      <c r="J11" s="330"/>
      <c r="K11" s="330"/>
      <c r="L11" s="330"/>
      <c r="M11" s="330"/>
      <c r="N11" s="330"/>
      <c r="O11" s="333"/>
      <c r="P11" s="333"/>
      <c r="Q11" s="333"/>
      <c r="R11" s="330"/>
      <c r="S11" s="333"/>
      <c r="T11" s="330"/>
      <c r="U11" s="330"/>
      <c r="V11" s="330"/>
      <c r="W11" s="330"/>
      <c r="X11" s="330"/>
      <c r="Y11" s="330"/>
      <c r="Z11" s="335"/>
      <c r="AA11" s="330"/>
      <c r="AB11" s="330"/>
      <c r="AC11" s="330"/>
      <c r="AD11" s="330"/>
      <c r="AE11" s="330"/>
      <c r="AF11" s="330"/>
      <c r="AG11" s="330"/>
      <c r="AH11" s="330" t="s">
        <v>8</v>
      </c>
      <c r="AI11" s="330" t="s">
        <v>1895</v>
      </c>
    </row>
    <row r="12" spans="1:35" x14ac:dyDescent="0.2">
      <c r="A12" s="392">
        <v>10</v>
      </c>
      <c r="B12" s="392" t="s">
        <v>8</v>
      </c>
      <c r="C12" s="258" t="s">
        <v>1912</v>
      </c>
      <c r="D12" s="285" t="s">
        <v>1926</v>
      </c>
      <c r="E12" s="285" t="s">
        <v>190</v>
      </c>
      <c r="F12" s="346">
        <v>22</v>
      </c>
      <c r="G12" s="386">
        <v>1600</v>
      </c>
      <c r="H12" s="386">
        <f t="shared" si="0"/>
        <v>35200</v>
      </c>
      <c r="I12" s="386">
        <f t="shared" si="1"/>
        <v>42944</v>
      </c>
      <c r="J12" s="330"/>
      <c r="K12" s="330"/>
      <c r="L12" s="330"/>
      <c r="M12" s="330"/>
      <c r="N12" s="330"/>
      <c r="O12" s="333"/>
      <c r="P12" s="333"/>
      <c r="Q12" s="333"/>
      <c r="R12" s="330"/>
      <c r="S12" s="333"/>
      <c r="T12" s="330"/>
      <c r="U12" s="330"/>
      <c r="V12" s="330"/>
      <c r="W12" s="330"/>
      <c r="X12" s="330"/>
      <c r="Y12" s="330"/>
      <c r="Z12" s="335"/>
      <c r="AA12" s="330"/>
      <c r="AB12" s="330"/>
      <c r="AC12" s="330"/>
      <c r="AD12" s="330"/>
      <c r="AE12" s="330"/>
      <c r="AF12" s="330"/>
      <c r="AG12" s="330"/>
      <c r="AH12" s="330" t="s">
        <v>8</v>
      </c>
      <c r="AI12" s="330" t="s">
        <v>1895</v>
      </c>
    </row>
    <row r="13" spans="1:35" ht="11.65" x14ac:dyDescent="0.2">
      <c r="A13" s="486" t="s">
        <v>59</v>
      </c>
      <c r="B13" s="487"/>
      <c r="C13" s="487"/>
      <c r="D13" s="487"/>
      <c r="E13" s="487"/>
      <c r="F13" s="487"/>
      <c r="G13" s="488"/>
      <c r="H13" s="329">
        <f>SUM(H3:H12)</f>
        <v>532786.88500000001</v>
      </c>
      <c r="I13" s="329">
        <f>SUM(I3:I12)</f>
        <v>649999.99970000004</v>
      </c>
      <c r="J13" s="486" t="s">
        <v>59</v>
      </c>
      <c r="K13" s="487"/>
      <c r="L13" s="487"/>
      <c r="M13" s="487"/>
      <c r="N13" s="487"/>
      <c r="O13" s="488"/>
      <c r="P13" s="329">
        <f>SUM(P3:P12)</f>
        <v>23535</v>
      </c>
      <c r="Q13" s="329">
        <f>SUM(Q3:Q12)</f>
        <v>24711.75</v>
      </c>
      <c r="R13" s="329"/>
      <c r="S13" s="329">
        <f>SUM(S3:S12)</f>
        <v>30188.25</v>
      </c>
    </row>
  </sheetData>
  <autoFilter ref="A2:I13"/>
  <mergeCells count="3">
    <mergeCell ref="A1:I1"/>
    <mergeCell ref="A13:G13"/>
    <mergeCell ref="J13:O13"/>
  </mergeCells>
  <printOptions horizontalCentered="1"/>
  <pageMargins left="0" right="0" top="0.74803149606299213" bottom="0.74803149606299213" header="0.31496062992125984" footer="0.31496062992125984"/>
  <pageSetup paperSize="9" scale="95" orientation="landscape" r:id="rId1"/>
  <headerFooter>
    <oddHeader xml:space="preserve">&amp;C
</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4"/>
  <sheetViews>
    <sheetView tabSelected="1" workbookViewId="0">
      <pane ySplit="1" topLeftCell="A17" activePane="bottomLeft" state="frozen"/>
      <selection pane="bottomLeft" activeCell="J21" sqref="J21"/>
    </sheetView>
  </sheetViews>
  <sheetFormatPr defaultColWidth="29.42578125" defaultRowHeight="15" x14ac:dyDescent="0.25"/>
  <cols>
    <col min="1" max="1" width="3.140625" style="256" bestFit="1" customWidth="1"/>
    <col min="2" max="2" width="7.28515625" style="256" bestFit="1" customWidth="1"/>
    <col min="3" max="3" width="14.140625" style="256" customWidth="1"/>
    <col min="4" max="4" width="16.5703125" style="256" customWidth="1"/>
    <col min="5" max="5" width="29.42578125" style="256"/>
    <col min="6" max="6" width="4.140625" style="256" bestFit="1" customWidth="1"/>
    <col min="7" max="7" width="23.5703125" style="256" customWidth="1"/>
    <col min="8" max="8" width="14.5703125" style="256" bestFit="1" customWidth="1"/>
    <col min="9" max="9" width="14.42578125" style="256" bestFit="1" customWidth="1"/>
    <col min="10" max="10" width="8.42578125" style="256" customWidth="1"/>
    <col min="11" max="11" width="16.85546875" style="256" customWidth="1"/>
    <col min="12" max="12" width="16.7109375" style="256" customWidth="1"/>
    <col min="13" max="13" width="19" style="256" customWidth="1"/>
    <col min="14" max="14" width="5.85546875" style="256" customWidth="1"/>
    <col min="15" max="15" width="20.42578125" style="400" bestFit="1" customWidth="1"/>
    <col min="16" max="16" width="15.140625" style="256" customWidth="1"/>
    <col min="17" max="17" width="13.85546875" style="256" customWidth="1"/>
    <col min="18" max="18" width="8.42578125" style="256" customWidth="1"/>
    <col min="19" max="19" width="20.42578125" style="256" customWidth="1"/>
    <col min="20" max="20" width="16.5703125" style="256" customWidth="1"/>
    <col min="21" max="21" width="14.7109375" style="256" customWidth="1"/>
    <col min="22" max="22" width="13.28515625" style="256" customWidth="1"/>
    <col min="23" max="23" width="13.7109375" style="256" customWidth="1"/>
    <col min="24" max="24" width="15.140625" style="256" bestFit="1" customWidth="1"/>
    <col min="25" max="25" width="21" style="255" customWidth="1"/>
    <col min="26" max="26" width="16" style="256" customWidth="1"/>
    <col min="27" max="27" width="9.85546875" style="255" bestFit="1" customWidth="1"/>
    <col min="28" max="28" width="25.42578125" style="256" customWidth="1"/>
    <col min="29" max="33" width="29.42578125" style="256"/>
    <col min="34" max="34" width="20.140625" style="256" customWidth="1"/>
    <col min="35" max="16384" width="29.42578125" style="256"/>
  </cols>
  <sheetData>
    <row r="1" spans="1:35" s="397" customFormat="1" ht="36" x14ac:dyDescent="0.25">
      <c r="A1" s="395" t="s">
        <v>0</v>
      </c>
      <c r="B1" s="395" t="s">
        <v>1</v>
      </c>
      <c r="C1" s="395" t="s">
        <v>2</v>
      </c>
      <c r="D1" s="395" t="s">
        <v>3</v>
      </c>
      <c r="E1" s="395" t="s">
        <v>4</v>
      </c>
      <c r="F1" s="395" t="s">
        <v>5</v>
      </c>
      <c r="G1" s="396" t="s">
        <v>186</v>
      </c>
      <c r="H1" s="396" t="s">
        <v>92</v>
      </c>
      <c r="I1" s="396" t="s">
        <v>61</v>
      </c>
      <c r="J1" s="66" t="s">
        <v>5</v>
      </c>
      <c r="K1" s="189" t="s">
        <v>105</v>
      </c>
      <c r="L1" s="66" t="s">
        <v>92</v>
      </c>
      <c r="M1" s="66" t="s">
        <v>61</v>
      </c>
      <c r="N1" s="66" t="s">
        <v>5</v>
      </c>
      <c r="O1" s="332" t="s">
        <v>67</v>
      </c>
      <c r="P1" s="66" t="s">
        <v>6</v>
      </c>
      <c r="Q1" s="66" t="s">
        <v>7</v>
      </c>
      <c r="R1" s="291" t="s">
        <v>313</v>
      </c>
      <c r="S1" s="66" t="s">
        <v>93</v>
      </c>
      <c r="T1" s="66" t="s">
        <v>267</v>
      </c>
      <c r="U1" s="66" t="s">
        <v>106</v>
      </c>
      <c r="V1" s="66" t="s">
        <v>107</v>
      </c>
      <c r="W1" s="66" t="s">
        <v>108</v>
      </c>
      <c r="X1" s="66" t="s">
        <v>109</v>
      </c>
      <c r="Y1" s="66" t="s">
        <v>110</v>
      </c>
      <c r="Z1" s="290" t="s">
        <v>111</v>
      </c>
      <c r="AA1" s="66" t="s">
        <v>112</v>
      </c>
      <c r="AB1" s="66" t="s">
        <v>113</v>
      </c>
      <c r="AC1" s="66" t="s">
        <v>114</v>
      </c>
      <c r="AD1" s="66" t="s">
        <v>115</v>
      </c>
      <c r="AE1" s="66" t="s">
        <v>116</v>
      </c>
      <c r="AF1" s="66" t="s">
        <v>117</v>
      </c>
      <c r="AG1" s="66" t="s">
        <v>118</v>
      </c>
      <c r="AH1" s="64" t="s">
        <v>1544</v>
      </c>
      <c r="AI1" s="64" t="s">
        <v>1540</v>
      </c>
    </row>
    <row r="2" spans="1:35" s="397" customFormat="1" ht="23.1" x14ac:dyDescent="0.2">
      <c r="A2" s="288">
        <v>1</v>
      </c>
      <c r="B2" s="401" t="s">
        <v>8</v>
      </c>
      <c r="C2" s="258" t="s">
        <v>9</v>
      </c>
      <c r="D2" s="287"/>
      <c r="E2" s="285" t="s">
        <v>1934</v>
      </c>
      <c r="F2" s="288">
        <v>1</v>
      </c>
      <c r="G2" s="375">
        <v>3000</v>
      </c>
      <c r="H2" s="375">
        <f>F2*G2</f>
        <v>3000</v>
      </c>
      <c r="I2" s="375">
        <f>H2*1.22</f>
        <v>3660</v>
      </c>
      <c r="J2" s="288">
        <v>1</v>
      </c>
      <c r="K2" s="375">
        <v>3000</v>
      </c>
      <c r="L2" s="375">
        <f>J2*K2</f>
        <v>3000</v>
      </c>
      <c r="M2" s="375">
        <f>L2*1.22</f>
        <v>3660</v>
      </c>
      <c r="N2" s="330">
        <v>1</v>
      </c>
      <c r="O2" s="403">
        <v>2793.6</v>
      </c>
      <c r="P2" s="333">
        <f>N2*O2</f>
        <v>2793.6</v>
      </c>
      <c r="Q2" s="333">
        <f>P2*1.22</f>
        <v>3408.192</v>
      </c>
      <c r="R2" s="330">
        <v>2022</v>
      </c>
      <c r="S2" s="333">
        <f>I2-Q2</f>
        <v>251.80799999999999</v>
      </c>
      <c r="T2" s="404">
        <f>1-Q2/M2</f>
        <v>6.8799999999999972E-2</v>
      </c>
      <c r="U2" s="353">
        <v>44762</v>
      </c>
      <c r="V2" s="353">
        <v>44778</v>
      </c>
      <c r="W2" s="330"/>
      <c r="X2" s="391">
        <v>44890</v>
      </c>
      <c r="Y2" s="405" t="s">
        <v>1955</v>
      </c>
      <c r="Z2" s="335"/>
      <c r="AA2" s="405" t="s">
        <v>1954</v>
      </c>
      <c r="AB2" s="330" t="s">
        <v>1953</v>
      </c>
      <c r="AC2" s="330"/>
      <c r="AD2" s="330"/>
      <c r="AE2" s="330"/>
      <c r="AF2" s="330"/>
      <c r="AG2" s="330"/>
      <c r="AH2" s="192" t="s">
        <v>8</v>
      </c>
      <c r="AI2" s="330" t="s">
        <v>1900</v>
      </c>
    </row>
    <row r="3" spans="1:35" s="397" customFormat="1" ht="23.1" x14ac:dyDescent="0.2">
      <c r="A3" s="288">
        <v>2</v>
      </c>
      <c r="B3" s="401" t="s">
        <v>8</v>
      </c>
      <c r="C3" s="258" t="s">
        <v>9</v>
      </c>
      <c r="D3" s="287"/>
      <c r="E3" s="285" t="s">
        <v>1935</v>
      </c>
      <c r="F3" s="288">
        <v>1</v>
      </c>
      <c r="G3" s="375">
        <v>2000</v>
      </c>
      <c r="H3" s="375">
        <f t="shared" ref="H3:H23" si="0">F3*G3</f>
        <v>2000</v>
      </c>
      <c r="I3" s="375">
        <f t="shared" ref="I3:I20" si="1">H3*1.22</f>
        <v>2440</v>
      </c>
      <c r="J3" s="288">
        <v>1</v>
      </c>
      <c r="K3" s="375">
        <v>2000</v>
      </c>
      <c r="L3" s="375">
        <f t="shared" ref="L3:L20" si="2">J3*K3</f>
        <v>2000</v>
      </c>
      <c r="M3" s="375">
        <f t="shared" ref="M3:M20" si="3">L3*1.22</f>
        <v>2440</v>
      </c>
      <c r="N3" s="330">
        <v>1</v>
      </c>
      <c r="O3" s="403">
        <v>1215</v>
      </c>
      <c r="P3" s="333">
        <f t="shared" ref="P3:P23" si="4">N3*O3</f>
        <v>1215</v>
      </c>
      <c r="Q3" s="333">
        <f t="shared" ref="Q3:Q23" si="5">P3*1.22</f>
        <v>1482.3</v>
      </c>
      <c r="R3" s="330">
        <v>2022</v>
      </c>
      <c r="S3" s="333">
        <f t="shared" ref="S3:S23" si="6">I3-Q3</f>
        <v>957.7</v>
      </c>
      <c r="T3" s="404">
        <f t="shared" ref="T3:T23" si="7">1-Q3/M3</f>
        <v>0.39250000000000007</v>
      </c>
      <c r="U3" s="353">
        <v>44760</v>
      </c>
      <c r="V3" s="353">
        <v>44802</v>
      </c>
      <c r="W3" s="330"/>
      <c r="X3" s="391">
        <v>44896</v>
      </c>
      <c r="Y3" s="405" t="s">
        <v>1956</v>
      </c>
      <c r="Z3" s="335"/>
      <c r="AA3" s="405" t="s">
        <v>1957</v>
      </c>
      <c r="AB3" s="330" t="s">
        <v>1958</v>
      </c>
      <c r="AC3" s="330"/>
      <c r="AD3" s="330"/>
      <c r="AE3" s="330"/>
      <c r="AF3" s="330"/>
      <c r="AG3" s="330"/>
      <c r="AH3" s="192" t="s">
        <v>8</v>
      </c>
      <c r="AI3" s="330" t="s">
        <v>1900</v>
      </c>
    </row>
    <row r="4" spans="1:35" s="397" customFormat="1" ht="57.75" x14ac:dyDescent="0.2">
      <c r="A4" s="288">
        <v>3</v>
      </c>
      <c r="B4" s="401" t="s">
        <v>8</v>
      </c>
      <c r="C4" s="398" t="s">
        <v>1919</v>
      </c>
      <c r="D4" s="398" t="s">
        <v>1936</v>
      </c>
      <c r="E4" s="402" t="s">
        <v>1937</v>
      </c>
      <c r="F4" s="288">
        <v>1</v>
      </c>
      <c r="G4" s="375">
        <f>(29000+37500+30000+30000+15000)</f>
        <v>141500</v>
      </c>
      <c r="H4" s="375">
        <f t="shared" si="0"/>
        <v>141500</v>
      </c>
      <c r="I4" s="375">
        <f t="shared" si="1"/>
        <v>172630</v>
      </c>
      <c r="J4" s="346">
        <v>1</v>
      </c>
      <c r="K4" s="375">
        <f>(29000+37500)</f>
        <v>66500</v>
      </c>
      <c r="L4" s="375">
        <f t="shared" si="2"/>
        <v>66500</v>
      </c>
      <c r="M4" s="375">
        <f t="shared" si="3"/>
        <v>81130</v>
      </c>
      <c r="N4" s="330">
        <v>1</v>
      </c>
      <c r="O4" s="403">
        <f>32548.61+28923.56</f>
        <v>61472.17</v>
      </c>
      <c r="P4" s="333">
        <f t="shared" si="4"/>
        <v>61472.17</v>
      </c>
      <c r="Q4" s="333">
        <f t="shared" si="5"/>
        <v>74996.047399999996</v>
      </c>
      <c r="R4" s="330">
        <v>2022</v>
      </c>
      <c r="S4" s="333">
        <f t="shared" si="6"/>
        <v>97633.952600000004</v>
      </c>
      <c r="T4" s="404">
        <f t="shared" si="7"/>
        <v>7.5606466165413555E-2</v>
      </c>
      <c r="U4" s="353" t="s">
        <v>1959</v>
      </c>
      <c r="V4" s="353" t="s">
        <v>1960</v>
      </c>
      <c r="W4" s="330"/>
      <c r="X4" s="391">
        <v>44917</v>
      </c>
      <c r="Y4" s="405" t="s">
        <v>1961</v>
      </c>
      <c r="Z4" s="335"/>
      <c r="AA4" s="405" t="s">
        <v>1962</v>
      </c>
      <c r="AB4" s="405" t="s">
        <v>1963</v>
      </c>
      <c r="AC4" s="330"/>
      <c r="AD4" s="330"/>
      <c r="AE4" s="330"/>
      <c r="AF4" s="330"/>
      <c r="AG4" s="330"/>
      <c r="AH4" s="192" t="s">
        <v>8</v>
      </c>
      <c r="AI4" s="330" t="s">
        <v>1900</v>
      </c>
    </row>
    <row r="5" spans="1:35" s="397" customFormat="1" ht="11.65" x14ac:dyDescent="0.2">
      <c r="A5" s="288">
        <v>4</v>
      </c>
      <c r="B5" s="401" t="s">
        <v>8</v>
      </c>
      <c r="C5" s="287" t="s">
        <v>1919</v>
      </c>
      <c r="D5" s="287" t="s">
        <v>1936</v>
      </c>
      <c r="E5" s="402" t="s">
        <v>1938</v>
      </c>
      <c r="F5" s="288">
        <v>1</v>
      </c>
      <c r="G5" s="375">
        <v>2500</v>
      </c>
      <c r="H5" s="375">
        <f t="shared" si="0"/>
        <v>2500</v>
      </c>
      <c r="I5" s="375">
        <f t="shared" si="1"/>
        <v>3050</v>
      </c>
      <c r="J5" s="288">
        <v>1</v>
      </c>
      <c r="K5" s="375">
        <v>2500</v>
      </c>
      <c r="L5" s="375">
        <f t="shared" si="2"/>
        <v>2500</v>
      </c>
      <c r="M5" s="375">
        <f t="shared" si="3"/>
        <v>3050</v>
      </c>
      <c r="N5" s="330">
        <v>1</v>
      </c>
      <c r="O5" s="403">
        <v>1550</v>
      </c>
      <c r="P5" s="333">
        <f t="shared" si="4"/>
        <v>1550</v>
      </c>
      <c r="Q5" s="333">
        <f t="shared" si="5"/>
        <v>1891</v>
      </c>
      <c r="R5" s="330">
        <v>2022</v>
      </c>
      <c r="S5" s="333">
        <f t="shared" si="6"/>
        <v>1159</v>
      </c>
      <c r="T5" s="404">
        <f t="shared" si="7"/>
        <v>0.38</v>
      </c>
      <c r="U5" s="353">
        <v>44823</v>
      </c>
      <c r="V5" s="353">
        <v>44841</v>
      </c>
      <c r="W5" s="330"/>
      <c r="X5" s="391">
        <v>44917</v>
      </c>
      <c r="Y5" s="405" t="s">
        <v>1964</v>
      </c>
      <c r="Z5" s="335"/>
      <c r="AA5" s="405" t="s">
        <v>1965</v>
      </c>
      <c r="AB5" s="330" t="s">
        <v>1966</v>
      </c>
      <c r="AC5" s="330"/>
      <c r="AD5" s="330"/>
      <c r="AE5" s="330"/>
      <c r="AF5" s="330"/>
      <c r="AG5" s="330"/>
      <c r="AH5" s="192" t="s">
        <v>8</v>
      </c>
      <c r="AI5" s="330" t="s">
        <v>1900</v>
      </c>
    </row>
    <row r="6" spans="1:35" s="397" customFormat="1" ht="23.1" x14ac:dyDescent="0.2">
      <c r="A6" s="288">
        <v>5</v>
      </c>
      <c r="B6" s="401" t="s">
        <v>8</v>
      </c>
      <c r="C6" s="287" t="s">
        <v>1919</v>
      </c>
      <c r="D6" s="287" t="s">
        <v>1936</v>
      </c>
      <c r="E6" s="402" t="s">
        <v>1939</v>
      </c>
      <c r="F6" s="288">
        <v>1</v>
      </c>
      <c r="G6" s="375">
        <v>5000</v>
      </c>
      <c r="H6" s="375">
        <f t="shared" si="0"/>
        <v>5000</v>
      </c>
      <c r="I6" s="375">
        <f t="shared" si="1"/>
        <v>6100</v>
      </c>
      <c r="J6" s="288">
        <v>1</v>
      </c>
      <c r="K6" s="375">
        <v>5000</v>
      </c>
      <c r="L6" s="375">
        <f t="shared" si="2"/>
        <v>5000</v>
      </c>
      <c r="M6" s="375">
        <f t="shared" si="3"/>
        <v>6100</v>
      </c>
      <c r="N6" s="330"/>
      <c r="O6" s="407"/>
      <c r="P6" s="333"/>
      <c r="Q6" s="333"/>
      <c r="R6" s="330"/>
      <c r="S6" s="333"/>
      <c r="T6" s="404">
        <f t="shared" si="7"/>
        <v>1</v>
      </c>
      <c r="U6" s="391">
        <v>44907</v>
      </c>
      <c r="V6" s="391">
        <v>44914</v>
      </c>
      <c r="W6" s="330"/>
      <c r="X6" s="330"/>
      <c r="Y6" s="405" t="s">
        <v>1971</v>
      </c>
      <c r="Z6" s="335"/>
      <c r="AA6" s="405" t="s">
        <v>1972</v>
      </c>
      <c r="AB6" s="330"/>
      <c r="AC6" s="330"/>
      <c r="AD6" s="330"/>
      <c r="AE6" s="330"/>
      <c r="AF6" s="330"/>
      <c r="AG6" s="330"/>
      <c r="AH6" s="192" t="s">
        <v>8</v>
      </c>
      <c r="AI6" s="330" t="s">
        <v>2054</v>
      </c>
    </row>
    <row r="7" spans="1:35" s="397" customFormat="1" ht="23.1" x14ac:dyDescent="0.2">
      <c r="A7" s="288">
        <v>6</v>
      </c>
      <c r="B7" s="401" t="s">
        <v>8</v>
      </c>
      <c r="C7" s="287" t="s">
        <v>1919</v>
      </c>
      <c r="D7" s="287" t="s">
        <v>1936</v>
      </c>
      <c r="E7" s="402" t="s">
        <v>1940</v>
      </c>
      <c r="F7" s="288">
        <v>1</v>
      </c>
      <c r="G7" s="375">
        <v>2700</v>
      </c>
      <c r="H7" s="375">
        <f t="shared" si="0"/>
        <v>2700</v>
      </c>
      <c r="I7" s="375">
        <f t="shared" si="1"/>
        <v>3294</v>
      </c>
      <c r="J7" s="288">
        <v>1</v>
      </c>
      <c r="K7" s="375">
        <v>2700</v>
      </c>
      <c r="L7" s="375">
        <f t="shared" si="2"/>
        <v>2700</v>
      </c>
      <c r="M7" s="375">
        <f t="shared" si="3"/>
        <v>3294</v>
      </c>
      <c r="N7" s="330">
        <v>1</v>
      </c>
      <c r="O7" s="403">
        <v>2295</v>
      </c>
      <c r="P7" s="333">
        <f t="shared" si="4"/>
        <v>2295</v>
      </c>
      <c r="Q7" s="333">
        <f t="shared" si="5"/>
        <v>2799.9</v>
      </c>
      <c r="R7" s="330">
        <v>2022</v>
      </c>
      <c r="S7" s="333">
        <f t="shared" si="6"/>
        <v>494.09999999999991</v>
      </c>
      <c r="T7" s="404">
        <f t="shared" si="7"/>
        <v>0.15000000000000002</v>
      </c>
      <c r="U7" s="391">
        <v>44799</v>
      </c>
      <c r="V7" s="391">
        <v>44816</v>
      </c>
      <c r="W7" s="330"/>
      <c r="X7" s="391">
        <v>44924</v>
      </c>
      <c r="Y7" s="405" t="s">
        <v>1973</v>
      </c>
      <c r="Z7" s="335"/>
      <c r="AA7" s="405" t="s">
        <v>1974</v>
      </c>
      <c r="AB7" s="330" t="s">
        <v>1975</v>
      </c>
      <c r="AC7" s="330"/>
      <c r="AD7" s="330"/>
      <c r="AE7" s="330"/>
      <c r="AF7" s="330"/>
      <c r="AG7" s="330"/>
      <c r="AH7" s="192" t="s">
        <v>8</v>
      </c>
      <c r="AI7" s="330" t="s">
        <v>1900</v>
      </c>
    </row>
    <row r="8" spans="1:35" s="397" customFormat="1" ht="23.1" x14ac:dyDescent="0.2">
      <c r="A8" s="288">
        <v>7</v>
      </c>
      <c r="B8" s="401" t="s">
        <v>8</v>
      </c>
      <c r="C8" s="287" t="s">
        <v>1919</v>
      </c>
      <c r="D8" s="287" t="s">
        <v>1936</v>
      </c>
      <c r="E8" s="402" t="s">
        <v>1941</v>
      </c>
      <c r="F8" s="288">
        <v>1</v>
      </c>
      <c r="G8" s="375">
        <v>1200</v>
      </c>
      <c r="H8" s="375">
        <f t="shared" si="0"/>
        <v>1200</v>
      </c>
      <c r="I8" s="375">
        <f t="shared" si="1"/>
        <v>1464</v>
      </c>
      <c r="J8" s="288">
        <v>1</v>
      </c>
      <c r="K8" s="375">
        <v>1200</v>
      </c>
      <c r="L8" s="375">
        <f t="shared" si="2"/>
        <v>1200</v>
      </c>
      <c r="M8" s="375">
        <f t="shared" si="3"/>
        <v>1464</v>
      </c>
      <c r="N8" s="330"/>
      <c r="O8" s="407"/>
      <c r="P8" s="333"/>
      <c r="Q8" s="333"/>
      <c r="R8" s="330"/>
      <c r="S8" s="333"/>
      <c r="T8" s="404">
        <f t="shared" si="7"/>
        <v>1</v>
      </c>
      <c r="U8" s="391">
        <v>44728</v>
      </c>
      <c r="V8" s="391">
        <v>44746</v>
      </c>
      <c r="W8" s="330"/>
      <c r="X8" s="330"/>
      <c r="Y8" s="405" t="s">
        <v>1976</v>
      </c>
      <c r="Z8" s="335"/>
      <c r="AA8" s="405" t="s">
        <v>1977</v>
      </c>
      <c r="AB8" s="330"/>
      <c r="AC8" s="330"/>
      <c r="AD8" s="330"/>
      <c r="AE8" s="330"/>
      <c r="AF8" s="330"/>
      <c r="AG8" s="330"/>
      <c r="AH8" s="192" t="s">
        <v>8</v>
      </c>
      <c r="AI8" s="330" t="s">
        <v>2054</v>
      </c>
    </row>
    <row r="9" spans="1:35" s="397" customFormat="1" ht="23.1" x14ac:dyDescent="0.2">
      <c r="A9" s="288">
        <v>8</v>
      </c>
      <c r="B9" s="401" t="s">
        <v>8</v>
      </c>
      <c r="C9" s="287" t="s">
        <v>1942</v>
      </c>
      <c r="D9" s="287" t="s">
        <v>21</v>
      </c>
      <c r="E9" s="402" t="s">
        <v>1943</v>
      </c>
      <c r="F9" s="288">
        <v>1</v>
      </c>
      <c r="G9" s="375">
        <v>1200</v>
      </c>
      <c r="H9" s="375">
        <f t="shared" si="0"/>
        <v>1200</v>
      </c>
      <c r="I9" s="375">
        <f t="shared" si="1"/>
        <v>1464</v>
      </c>
      <c r="J9" s="288">
        <v>1</v>
      </c>
      <c r="K9" s="375">
        <v>1200</v>
      </c>
      <c r="L9" s="375">
        <f t="shared" si="2"/>
        <v>1200</v>
      </c>
      <c r="M9" s="375">
        <f t="shared" si="3"/>
        <v>1464</v>
      </c>
      <c r="N9" s="330">
        <v>1</v>
      </c>
      <c r="O9" s="403">
        <v>1040</v>
      </c>
      <c r="P9" s="333">
        <f t="shared" si="4"/>
        <v>1040</v>
      </c>
      <c r="Q9" s="333">
        <f t="shared" si="5"/>
        <v>1268.8</v>
      </c>
      <c r="R9" s="330">
        <v>2022</v>
      </c>
      <c r="S9" s="333">
        <f t="shared" si="6"/>
        <v>195.20000000000005</v>
      </c>
      <c r="T9" s="404">
        <f t="shared" si="7"/>
        <v>0.13333333333333341</v>
      </c>
      <c r="U9" s="391">
        <v>44728</v>
      </c>
      <c r="V9" s="391">
        <v>44746</v>
      </c>
      <c r="W9" s="330"/>
      <c r="X9" s="391">
        <v>44908</v>
      </c>
      <c r="Y9" s="405" t="s">
        <v>1980</v>
      </c>
      <c r="Z9" s="335"/>
      <c r="AA9" s="405" t="s">
        <v>1979</v>
      </c>
      <c r="AB9" s="330" t="s">
        <v>1978</v>
      </c>
      <c r="AC9" s="330"/>
      <c r="AD9" s="330"/>
      <c r="AE9" s="330"/>
      <c r="AF9" s="330"/>
      <c r="AG9" s="330"/>
      <c r="AH9" s="192" t="s">
        <v>8</v>
      </c>
      <c r="AI9" s="330" t="s">
        <v>1900</v>
      </c>
    </row>
    <row r="10" spans="1:35" s="397" customFormat="1" ht="11.65" x14ac:dyDescent="0.2">
      <c r="A10" s="288">
        <v>9</v>
      </c>
      <c r="B10" s="401" t="s">
        <v>8</v>
      </c>
      <c r="C10" s="285" t="s">
        <v>1920</v>
      </c>
      <c r="D10" s="285" t="s">
        <v>63</v>
      </c>
      <c r="E10" s="402" t="s">
        <v>1944</v>
      </c>
      <c r="F10" s="288">
        <v>1</v>
      </c>
      <c r="G10" s="375">
        <v>2000</v>
      </c>
      <c r="H10" s="375">
        <f t="shared" si="0"/>
        <v>2000</v>
      </c>
      <c r="I10" s="375">
        <f t="shared" si="1"/>
        <v>2440</v>
      </c>
      <c r="J10" s="288">
        <v>1</v>
      </c>
      <c r="K10" s="375">
        <v>2000</v>
      </c>
      <c r="L10" s="375">
        <f t="shared" si="2"/>
        <v>2000</v>
      </c>
      <c r="M10" s="375">
        <f t="shared" si="3"/>
        <v>2440</v>
      </c>
      <c r="N10" s="330"/>
      <c r="O10" s="407"/>
      <c r="P10" s="333"/>
      <c r="Q10" s="333"/>
      <c r="R10" s="330"/>
      <c r="S10" s="333"/>
      <c r="T10" s="404">
        <f t="shared" si="7"/>
        <v>1</v>
      </c>
      <c r="U10" s="391">
        <v>44728</v>
      </c>
      <c r="V10" s="391">
        <v>44746</v>
      </c>
      <c r="W10" s="330"/>
      <c r="X10" s="330"/>
      <c r="Y10" s="405" t="s">
        <v>1981</v>
      </c>
      <c r="Z10" s="335"/>
      <c r="AA10" s="405" t="s">
        <v>1982</v>
      </c>
      <c r="AB10" s="330"/>
      <c r="AC10" s="330"/>
      <c r="AD10" s="330"/>
      <c r="AE10" s="330"/>
      <c r="AF10" s="330"/>
      <c r="AG10" s="330"/>
      <c r="AH10" s="192" t="s">
        <v>8</v>
      </c>
      <c r="AI10" s="330" t="s">
        <v>2054</v>
      </c>
    </row>
    <row r="11" spans="1:35" s="397" customFormat="1" ht="11.65" x14ac:dyDescent="0.2">
      <c r="A11" s="288">
        <v>10</v>
      </c>
      <c r="B11" s="401" t="s">
        <v>8</v>
      </c>
      <c r="C11" s="258" t="s">
        <v>9</v>
      </c>
      <c r="D11" s="287" t="s">
        <v>25</v>
      </c>
      <c r="E11" s="402" t="s">
        <v>1945</v>
      </c>
      <c r="F11" s="288">
        <v>1</v>
      </c>
      <c r="G11" s="375">
        <v>15000</v>
      </c>
      <c r="H11" s="375">
        <f t="shared" si="0"/>
        <v>15000</v>
      </c>
      <c r="I11" s="375">
        <f t="shared" si="1"/>
        <v>18300</v>
      </c>
      <c r="J11" s="288">
        <v>1</v>
      </c>
      <c r="K11" s="375">
        <v>15000</v>
      </c>
      <c r="L11" s="375">
        <f t="shared" si="2"/>
        <v>15000</v>
      </c>
      <c r="M11" s="375">
        <f t="shared" si="3"/>
        <v>18300</v>
      </c>
      <c r="N11" s="397">
        <v>1</v>
      </c>
      <c r="O11" s="403">
        <v>14800</v>
      </c>
      <c r="P11" s="333">
        <f t="shared" si="4"/>
        <v>14800</v>
      </c>
      <c r="Q11" s="333">
        <f t="shared" si="5"/>
        <v>18056</v>
      </c>
      <c r="R11" s="397">
        <v>2022</v>
      </c>
      <c r="S11" s="333">
        <f t="shared" si="6"/>
        <v>244</v>
      </c>
      <c r="T11" s="404">
        <f t="shared" si="7"/>
        <v>1.3333333333333308E-2</v>
      </c>
      <c r="U11" s="409">
        <v>44823</v>
      </c>
      <c r="V11" s="409">
        <v>44841</v>
      </c>
      <c r="W11" s="308"/>
      <c r="X11" s="409">
        <v>44917</v>
      </c>
      <c r="Y11" s="405" t="s">
        <v>1983</v>
      </c>
      <c r="Z11" s="334"/>
      <c r="AA11" s="410" t="s">
        <v>1984</v>
      </c>
      <c r="AB11" s="308" t="s">
        <v>1985</v>
      </c>
      <c r="AC11" s="308"/>
      <c r="AD11" s="308"/>
      <c r="AE11" s="308"/>
      <c r="AF11" s="308"/>
      <c r="AG11" s="308"/>
      <c r="AH11" s="192" t="s">
        <v>8</v>
      </c>
      <c r="AI11" s="330" t="s">
        <v>1900</v>
      </c>
    </row>
    <row r="12" spans="1:35" s="397" customFormat="1" ht="11.65" x14ac:dyDescent="0.2">
      <c r="A12" s="288">
        <v>11</v>
      </c>
      <c r="B12" s="401" t="s">
        <v>8</v>
      </c>
      <c r="C12" s="258" t="s">
        <v>9</v>
      </c>
      <c r="D12" s="287" t="s">
        <v>1922</v>
      </c>
      <c r="E12" s="402" t="s">
        <v>1946</v>
      </c>
      <c r="F12" s="288">
        <v>1</v>
      </c>
      <c r="G12" s="375">
        <v>55000</v>
      </c>
      <c r="H12" s="375">
        <f t="shared" si="0"/>
        <v>55000</v>
      </c>
      <c r="I12" s="375">
        <f t="shared" si="1"/>
        <v>67100</v>
      </c>
      <c r="J12" s="288">
        <v>1</v>
      </c>
      <c r="K12" s="375">
        <v>55000</v>
      </c>
      <c r="L12" s="375">
        <f t="shared" si="2"/>
        <v>55000</v>
      </c>
      <c r="M12" s="375">
        <f t="shared" si="3"/>
        <v>67100</v>
      </c>
      <c r="N12" s="330">
        <v>1</v>
      </c>
      <c r="O12" s="403">
        <v>54500</v>
      </c>
      <c r="P12" s="333">
        <f t="shared" si="4"/>
        <v>54500</v>
      </c>
      <c r="Q12" s="333">
        <f t="shared" si="5"/>
        <v>66490</v>
      </c>
      <c r="R12" s="330">
        <v>2022</v>
      </c>
      <c r="S12" s="333">
        <f t="shared" si="6"/>
        <v>610</v>
      </c>
      <c r="T12" s="404">
        <f t="shared" si="7"/>
        <v>9.0909090909090384E-3</v>
      </c>
      <c r="U12" s="391">
        <v>44909</v>
      </c>
      <c r="V12" s="391">
        <v>44915</v>
      </c>
      <c r="W12" s="330"/>
      <c r="X12" s="391">
        <v>44925</v>
      </c>
      <c r="Y12" s="405" t="s">
        <v>1986</v>
      </c>
      <c r="Z12" s="335"/>
      <c r="AA12" s="405" t="s">
        <v>1987</v>
      </c>
      <c r="AB12" s="330" t="s">
        <v>1989</v>
      </c>
      <c r="AC12" s="330"/>
      <c r="AD12" s="330"/>
      <c r="AE12" s="330"/>
      <c r="AF12" s="330"/>
      <c r="AG12" s="330"/>
      <c r="AH12" s="192" t="s">
        <v>8</v>
      </c>
      <c r="AI12" s="330" t="s">
        <v>1900</v>
      </c>
    </row>
    <row r="13" spans="1:35" s="397" customFormat="1" ht="23.1" x14ac:dyDescent="0.2">
      <c r="A13" s="288">
        <v>12</v>
      </c>
      <c r="B13" s="401" t="s">
        <v>8</v>
      </c>
      <c r="C13" s="258" t="s">
        <v>9</v>
      </c>
      <c r="D13" s="287" t="s">
        <v>1627</v>
      </c>
      <c r="E13" s="402" t="s">
        <v>1947</v>
      </c>
      <c r="F13" s="288">
        <v>1</v>
      </c>
      <c r="G13" s="375">
        <v>8500</v>
      </c>
      <c r="H13" s="375">
        <f t="shared" si="0"/>
        <v>8500</v>
      </c>
      <c r="I13" s="375">
        <f t="shared" si="1"/>
        <v>10370</v>
      </c>
      <c r="J13" s="288">
        <v>1</v>
      </c>
      <c r="K13" s="375">
        <v>8500</v>
      </c>
      <c r="L13" s="375">
        <f t="shared" si="2"/>
        <v>8500</v>
      </c>
      <c r="M13" s="375">
        <f t="shared" si="3"/>
        <v>10370</v>
      </c>
      <c r="N13" s="330">
        <v>1</v>
      </c>
      <c r="O13" s="403">
        <v>8285</v>
      </c>
      <c r="P13" s="333">
        <f t="shared" si="4"/>
        <v>8285</v>
      </c>
      <c r="Q13" s="333">
        <f t="shared" si="5"/>
        <v>10107.699999999999</v>
      </c>
      <c r="R13" s="330">
        <v>2022</v>
      </c>
      <c r="S13" s="333">
        <f t="shared" si="6"/>
        <v>262.30000000000109</v>
      </c>
      <c r="T13" s="404">
        <f t="shared" si="7"/>
        <v>2.5294117647058911E-2</v>
      </c>
      <c r="U13" s="391">
        <v>44510</v>
      </c>
      <c r="V13" s="391">
        <v>44526</v>
      </c>
      <c r="W13" s="330"/>
      <c r="X13" s="391">
        <v>44880</v>
      </c>
      <c r="Y13" s="405" t="s">
        <v>1992</v>
      </c>
      <c r="Z13" s="335"/>
      <c r="AA13" s="405">
        <v>8969530250</v>
      </c>
      <c r="AB13" s="330" t="s">
        <v>1990</v>
      </c>
      <c r="AC13" s="330"/>
      <c r="AD13" s="330"/>
      <c r="AE13" s="330"/>
      <c r="AF13" s="330"/>
      <c r="AG13" s="330"/>
      <c r="AH13" s="192" t="s">
        <v>8</v>
      </c>
      <c r="AI13" s="330" t="s">
        <v>1900</v>
      </c>
    </row>
    <row r="14" spans="1:35" s="397" customFormat="1" ht="23.1" x14ac:dyDescent="0.2">
      <c r="A14" s="288">
        <v>13</v>
      </c>
      <c r="B14" s="401" t="s">
        <v>8</v>
      </c>
      <c r="C14" s="258" t="s">
        <v>9</v>
      </c>
      <c r="D14" s="287" t="s">
        <v>1627</v>
      </c>
      <c r="E14" s="402" t="s">
        <v>1948</v>
      </c>
      <c r="F14" s="288">
        <v>1</v>
      </c>
      <c r="G14" s="375">
        <v>11000</v>
      </c>
      <c r="H14" s="375">
        <f t="shared" si="0"/>
        <v>11000</v>
      </c>
      <c r="I14" s="375">
        <f t="shared" si="1"/>
        <v>13420</v>
      </c>
      <c r="J14" s="288">
        <v>1</v>
      </c>
      <c r="K14" s="375">
        <v>11000</v>
      </c>
      <c r="L14" s="375">
        <f t="shared" si="2"/>
        <v>11000</v>
      </c>
      <c r="M14" s="375">
        <f t="shared" si="3"/>
        <v>13420</v>
      </c>
      <c r="N14" s="330">
        <v>1</v>
      </c>
      <c r="O14" s="403">
        <v>10796</v>
      </c>
      <c r="P14" s="333">
        <f t="shared" si="4"/>
        <v>10796</v>
      </c>
      <c r="Q14" s="333">
        <f t="shared" si="5"/>
        <v>13171.119999999999</v>
      </c>
      <c r="R14" s="330">
        <v>2022</v>
      </c>
      <c r="S14" s="333">
        <f t="shared" si="6"/>
        <v>248.88000000000102</v>
      </c>
      <c r="T14" s="404">
        <f t="shared" si="7"/>
        <v>1.8545454545454643E-2</v>
      </c>
      <c r="U14" s="391">
        <v>44510</v>
      </c>
      <c r="V14" s="391">
        <v>44526</v>
      </c>
      <c r="W14" s="330"/>
      <c r="X14" s="391">
        <v>44880</v>
      </c>
      <c r="Y14" s="405" t="s">
        <v>1992</v>
      </c>
      <c r="Z14" s="335"/>
      <c r="AA14" s="405" t="s">
        <v>1988</v>
      </c>
      <c r="AB14" s="330" t="s">
        <v>1990</v>
      </c>
      <c r="AC14" s="330"/>
      <c r="AD14" s="330"/>
      <c r="AE14" s="330"/>
      <c r="AF14" s="330"/>
      <c r="AG14" s="330"/>
      <c r="AH14" s="192" t="s">
        <v>8</v>
      </c>
      <c r="AI14" s="330" t="s">
        <v>1900</v>
      </c>
    </row>
    <row r="15" spans="1:35" s="397" customFormat="1" ht="57.75" x14ac:dyDescent="0.2">
      <c r="A15" s="288">
        <v>14</v>
      </c>
      <c r="B15" s="401" t="s">
        <v>8</v>
      </c>
      <c r="C15" s="258" t="s">
        <v>9</v>
      </c>
      <c r="D15" s="287" t="s">
        <v>1949</v>
      </c>
      <c r="E15" s="402" t="s">
        <v>1950</v>
      </c>
      <c r="F15" s="288">
        <v>1</v>
      </c>
      <c r="G15" s="375">
        <v>213810</v>
      </c>
      <c r="H15" s="375">
        <f t="shared" si="0"/>
        <v>213810</v>
      </c>
      <c r="I15" s="375">
        <f t="shared" si="1"/>
        <v>260848.19999999998</v>
      </c>
      <c r="J15" s="288">
        <v>1</v>
      </c>
      <c r="K15" s="375">
        <v>213810</v>
      </c>
      <c r="L15" s="375">
        <f t="shared" si="2"/>
        <v>213810</v>
      </c>
      <c r="M15" s="375">
        <f t="shared" si="3"/>
        <v>260848.19999999998</v>
      </c>
      <c r="N15" s="330">
        <v>1</v>
      </c>
      <c r="O15" s="403">
        <v>160998.16</v>
      </c>
      <c r="P15" s="333">
        <f t="shared" si="4"/>
        <v>160998.16</v>
      </c>
      <c r="Q15" s="333">
        <f t="shared" si="5"/>
        <v>196417.75520000001</v>
      </c>
      <c r="R15" s="330">
        <v>2022</v>
      </c>
      <c r="S15" s="333">
        <f t="shared" si="6"/>
        <v>64430.444799999968</v>
      </c>
      <c r="T15" s="404">
        <f t="shared" si="7"/>
        <v>0.24700360132828203</v>
      </c>
      <c r="U15" s="330"/>
      <c r="V15" s="391">
        <v>44519</v>
      </c>
      <c r="W15" s="330"/>
      <c r="X15" s="330"/>
      <c r="Y15" s="405" t="s">
        <v>1991</v>
      </c>
      <c r="Z15" s="335"/>
      <c r="AA15" s="411" t="s">
        <v>1994</v>
      </c>
      <c r="AB15" s="330" t="s">
        <v>1993</v>
      </c>
      <c r="AC15" s="330"/>
      <c r="AD15" s="330"/>
      <c r="AE15" s="330"/>
      <c r="AF15" s="330"/>
      <c r="AG15" s="330"/>
      <c r="AH15" s="192" t="s">
        <v>8</v>
      </c>
      <c r="AI15" s="330" t="s">
        <v>1900</v>
      </c>
    </row>
    <row r="16" spans="1:35" s="397" customFormat="1" ht="23.1" x14ac:dyDescent="0.2">
      <c r="A16" s="288">
        <v>15</v>
      </c>
      <c r="B16" s="401" t="s">
        <v>8</v>
      </c>
      <c r="C16" s="258" t="s">
        <v>9</v>
      </c>
      <c r="D16" s="285" t="s">
        <v>12</v>
      </c>
      <c r="E16" s="285" t="s">
        <v>1951</v>
      </c>
      <c r="F16" s="288">
        <v>1</v>
      </c>
      <c r="G16" s="375">
        <v>200000</v>
      </c>
      <c r="H16" s="375">
        <f t="shared" si="0"/>
        <v>200000</v>
      </c>
      <c r="I16" s="375">
        <f t="shared" si="1"/>
        <v>244000</v>
      </c>
      <c r="J16" s="288">
        <v>1</v>
      </c>
      <c r="K16" s="375">
        <v>200000</v>
      </c>
      <c r="L16" s="375">
        <f t="shared" si="2"/>
        <v>200000</v>
      </c>
      <c r="M16" s="375">
        <f t="shared" si="3"/>
        <v>244000</v>
      </c>
      <c r="N16" s="330">
        <v>1</v>
      </c>
      <c r="O16" s="407">
        <v>156000</v>
      </c>
      <c r="P16" s="333">
        <f t="shared" si="4"/>
        <v>156000</v>
      </c>
      <c r="Q16" s="333">
        <f t="shared" si="5"/>
        <v>190320</v>
      </c>
      <c r="R16" s="330">
        <v>2022</v>
      </c>
      <c r="S16" s="333">
        <f t="shared" si="6"/>
        <v>53680</v>
      </c>
      <c r="T16" s="404">
        <f t="shared" si="7"/>
        <v>0.21999999999999997</v>
      </c>
      <c r="U16" s="391">
        <v>44809</v>
      </c>
      <c r="V16" s="391">
        <v>44830</v>
      </c>
      <c r="W16" s="330"/>
      <c r="X16" s="391">
        <v>44914</v>
      </c>
      <c r="Y16" s="405" t="s">
        <v>1997</v>
      </c>
      <c r="Z16" s="335"/>
      <c r="AA16" s="405" t="s">
        <v>1995</v>
      </c>
      <c r="AB16" s="330" t="s">
        <v>1996</v>
      </c>
      <c r="AC16" s="330"/>
      <c r="AD16" s="330"/>
      <c r="AE16" s="330"/>
      <c r="AF16" s="330"/>
      <c r="AG16" s="330"/>
      <c r="AH16" s="192" t="s">
        <v>8</v>
      </c>
      <c r="AI16" s="330" t="s">
        <v>1900</v>
      </c>
    </row>
    <row r="17" spans="1:35" s="397" customFormat="1" ht="36" x14ac:dyDescent="0.2">
      <c r="A17" s="288" t="s">
        <v>2008</v>
      </c>
      <c r="B17" s="401" t="s">
        <v>8</v>
      </c>
      <c r="C17" s="258" t="s">
        <v>9</v>
      </c>
      <c r="D17" s="258" t="s">
        <v>82</v>
      </c>
      <c r="E17" s="258" t="s">
        <v>54</v>
      </c>
      <c r="F17" s="288">
        <v>1</v>
      </c>
      <c r="G17" s="375">
        <v>40000</v>
      </c>
      <c r="H17" s="375">
        <f t="shared" si="0"/>
        <v>40000</v>
      </c>
      <c r="I17" s="375">
        <f t="shared" si="1"/>
        <v>48800</v>
      </c>
      <c r="J17" s="288">
        <v>1</v>
      </c>
      <c r="K17" s="375">
        <v>40000</v>
      </c>
      <c r="L17" s="375">
        <f t="shared" si="2"/>
        <v>40000</v>
      </c>
      <c r="M17" s="375">
        <f t="shared" si="3"/>
        <v>48800</v>
      </c>
      <c r="N17" s="330">
        <v>1</v>
      </c>
      <c r="O17" s="403">
        <v>17940</v>
      </c>
      <c r="P17" s="333">
        <f t="shared" si="4"/>
        <v>17940</v>
      </c>
      <c r="Q17" s="412">
        <f>P17*1.22</f>
        <v>21886.799999999999</v>
      </c>
      <c r="R17" s="330">
        <v>2022</v>
      </c>
      <c r="S17" s="333">
        <f t="shared" si="6"/>
        <v>26913.200000000001</v>
      </c>
      <c r="T17" s="404">
        <f t="shared" si="7"/>
        <v>0.55149999999999999</v>
      </c>
      <c r="U17" s="330"/>
      <c r="V17" s="330"/>
      <c r="W17" s="330"/>
      <c r="X17" s="391"/>
      <c r="Y17" s="405" t="s">
        <v>2000</v>
      </c>
      <c r="Z17" s="335" t="s">
        <v>2001</v>
      </c>
      <c r="AA17" s="405" t="s">
        <v>1999</v>
      </c>
      <c r="AB17" s="330"/>
      <c r="AC17" s="330"/>
      <c r="AD17" s="330"/>
      <c r="AE17" s="330"/>
      <c r="AF17" s="330"/>
      <c r="AG17" s="330"/>
      <c r="AH17" s="192" t="s">
        <v>8</v>
      </c>
      <c r="AI17" s="330" t="s">
        <v>1900</v>
      </c>
    </row>
    <row r="18" spans="1:35" s="397" customFormat="1" ht="23.1" x14ac:dyDescent="0.2">
      <c r="A18" s="288" t="s">
        <v>2009</v>
      </c>
      <c r="B18" s="408" t="s">
        <v>8</v>
      </c>
      <c r="C18" s="258" t="s">
        <v>9</v>
      </c>
      <c r="D18" s="258" t="s">
        <v>82</v>
      </c>
      <c r="E18" s="258" t="s">
        <v>1998</v>
      </c>
      <c r="F18" s="288">
        <v>1</v>
      </c>
      <c r="G18" s="375"/>
      <c r="H18" s="375"/>
      <c r="I18" s="375"/>
      <c r="J18" s="330">
        <v>1</v>
      </c>
      <c r="K18" s="407">
        <v>3015</v>
      </c>
      <c r="L18" s="333">
        <f t="shared" ref="L18" si="8">J18*K18</f>
        <v>3015</v>
      </c>
      <c r="M18" s="415">
        <f>L18*1.22</f>
        <v>3678.2999999999997</v>
      </c>
      <c r="N18" s="287"/>
      <c r="O18" s="287"/>
      <c r="P18" s="287"/>
      <c r="Q18" s="287"/>
      <c r="R18" s="330"/>
      <c r="S18" s="333"/>
      <c r="T18" s="404"/>
      <c r="U18" s="330"/>
      <c r="V18" s="330"/>
      <c r="W18" s="330"/>
      <c r="X18" s="330"/>
      <c r="Y18" s="405"/>
      <c r="Z18" s="335"/>
      <c r="AA18" s="405"/>
      <c r="AB18" s="330"/>
      <c r="AC18" s="330"/>
      <c r="AD18" s="330"/>
      <c r="AE18" s="330"/>
      <c r="AF18" s="330"/>
      <c r="AG18" s="330"/>
      <c r="AH18" s="192" t="s">
        <v>8</v>
      </c>
      <c r="AI18" s="330" t="s">
        <v>1895</v>
      </c>
    </row>
    <row r="19" spans="1:35" s="397" customFormat="1" ht="36" x14ac:dyDescent="0.2">
      <c r="A19" s="288">
        <v>17</v>
      </c>
      <c r="B19" s="401" t="s">
        <v>8</v>
      </c>
      <c r="C19" s="285" t="s">
        <v>1920</v>
      </c>
      <c r="D19" s="285" t="s">
        <v>1921</v>
      </c>
      <c r="E19" s="285" t="s">
        <v>54</v>
      </c>
      <c r="F19" s="288">
        <v>1</v>
      </c>
      <c r="G19" s="375">
        <v>35320.245000000003</v>
      </c>
      <c r="H19" s="375">
        <f t="shared" si="0"/>
        <v>35320.245000000003</v>
      </c>
      <c r="I19" s="375">
        <f t="shared" si="1"/>
        <v>43090.698900000003</v>
      </c>
      <c r="J19" s="288">
        <v>1</v>
      </c>
      <c r="K19" s="375">
        <v>35320.245000000003</v>
      </c>
      <c r="L19" s="375">
        <f t="shared" si="2"/>
        <v>35320.245000000003</v>
      </c>
      <c r="M19" s="375">
        <f t="shared" si="3"/>
        <v>43090.698900000003</v>
      </c>
      <c r="N19" s="330">
        <v>1</v>
      </c>
      <c r="O19" s="403">
        <v>24135</v>
      </c>
      <c r="P19" s="333">
        <f t="shared" si="4"/>
        <v>24135</v>
      </c>
      <c r="Q19" s="333">
        <f>P19*1.05</f>
        <v>25341.75</v>
      </c>
      <c r="R19" s="330">
        <v>2022</v>
      </c>
      <c r="S19" s="333">
        <f t="shared" si="6"/>
        <v>17748.948900000003</v>
      </c>
      <c r="T19" s="404">
        <f t="shared" si="7"/>
        <v>0.41189744778077853</v>
      </c>
      <c r="U19" s="330"/>
      <c r="V19" s="330"/>
      <c r="W19" s="330"/>
      <c r="X19" s="330"/>
      <c r="Y19" s="405" t="s">
        <v>2000</v>
      </c>
      <c r="Z19" s="335" t="s">
        <v>2003</v>
      </c>
      <c r="AA19" s="405" t="s">
        <v>2002</v>
      </c>
      <c r="AB19" s="330"/>
      <c r="AC19" s="330"/>
      <c r="AD19" s="330"/>
      <c r="AE19" s="330"/>
      <c r="AF19" s="330"/>
      <c r="AG19" s="330"/>
      <c r="AH19" s="192" t="s">
        <v>8</v>
      </c>
      <c r="AI19" s="330" t="s">
        <v>1900</v>
      </c>
    </row>
    <row r="20" spans="1:35" s="397" customFormat="1" ht="36" x14ac:dyDescent="0.2">
      <c r="A20" s="288" t="s">
        <v>2004</v>
      </c>
      <c r="B20" s="401" t="s">
        <v>8</v>
      </c>
      <c r="C20" s="285" t="s">
        <v>1918</v>
      </c>
      <c r="D20" s="285" t="s">
        <v>2006</v>
      </c>
      <c r="E20" s="258" t="s">
        <v>42</v>
      </c>
      <c r="F20" s="288">
        <v>1</v>
      </c>
      <c r="G20" s="375">
        <v>35000</v>
      </c>
      <c r="H20" s="375">
        <f t="shared" si="0"/>
        <v>35000</v>
      </c>
      <c r="I20" s="375">
        <f t="shared" si="1"/>
        <v>42700</v>
      </c>
      <c r="J20" s="288">
        <v>1</v>
      </c>
      <c r="K20" s="375">
        <v>35000</v>
      </c>
      <c r="L20" s="375">
        <f t="shared" si="2"/>
        <v>35000</v>
      </c>
      <c r="M20" s="375">
        <f t="shared" si="3"/>
        <v>42700</v>
      </c>
      <c r="N20" s="330">
        <v>1</v>
      </c>
      <c r="O20" s="403">
        <v>24135</v>
      </c>
      <c r="P20" s="333">
        <f t="shared" si="4"/>
        <v>24135</v>
      </c>
      <c r="Q20" s="333">
        <f>P20*1.05</f>
        <v>25341.75</v>
      </c>
      <c r="R20" s="330">
        <v>2022</v>
      </c>
      <c r="S20" s="333">
        <f t="shared" si="6"/>
        <v>17358.25</v>
      </c>
      <c r="T20" s="404">
        <f t="shared" si="7"/>
        <v>0.40651639344262291</v>
      </c>
      <c r="U20" s="330"/>
      <c r="V20" s="330"/>
      <c r="W20" s="330"/>
      <c r="X20" s="330"/>
      <c r="Y20" s="405" t="s">
        <v>2000</v>
      </c>
      <c r="Z20" s="335" t="s">
        <v>2003</v>
      </c>
      <c r="AA20" s="405" t="s">
        <v>2002</v>
      </c>
      <c r="AB20" s="330"/>
      <c r="AC20" s="330"/>
      <c r="AD20" s="330"/>
      <c r="AE20" s="330"/>
      <c r="AF20" s="330"/>
      <c r="AG20" s="330"/>
      <c r="AH20" s="192" t="s">
        <v>8</v>
      </c>
      <c r="AI20" s="330" t="s">
        <v>1900</v>
      </c>
    </row>
    <row r="21" spans="1:35" s="397" customFormat="1" ht="36" x14ac:dyDescent="0.2">
      <c r="A21" s="288" t="s">
        <v>2005</v>
      </c>
      <c r="B21" s="408" t="s">
        <v>8</v>
      </c>
      <c r="C21" s="285" t="s">
        <v>1918</v>
      </c>
      <c r="D21" s="285" t="s">
        <v>2007</v>
      </c>
      <c r="E21" s="258" t="s">
        <v>42</v>
      </c>
      <c r="F21" s="288">
        <v>1</v>
      </c>
      <c r="G21" s="375">
        <v>35000</v>
      </c>
      <c r="H21" s="375">
        <f t="shared" ref="H21" si="9">F21*G21</f>
        <v>35000</v>
      </c>
      <c r="I21" s="375">
        <f t="shared" ref="I21" si="10">H21*1.22</f>
        <v>42700</v>
      </c>
      <c r="J21" s="288">
        <v>1</v>
      </c>
      <c r="K21" s="375">
        <v>35000</v>
      </c>
      <c r="L21" s="375">
        <f t="shared" ref="L21" si="11">J21*K21</f>
        <v>35000</v>
      </c>
      <c r="M21" s="375">
        <f t="shared" ref="M21" si="12">L21*1.22</f>
        <v>42700</v>
      </c>
      <c r="N21" s="330">
        <v>1</v>
      </c>
      <c r="O21" s="403">
        <v>23925</v>
      </c>
      <c r="P21" s="333">
        <f t="shared" si="4"/>
        <v>23925</v>
      </c>
      <c r="Q21" s="412">
        <f t="shared" si="5"/>
        <v>29188.5</v>
      </c>
      <c r="R21" s="330">
        <v>2022</v>
      </c>
      <c r="S21" s="333">
        <f t="shared" si="6"/>
        <v>13511.5</v>
      </c>
      <c r="T21" s="404">
        <f t="shared" si="7"/>
        <v>0.31642857142857139</v>
      </c>
      <c r="U21" s="330"/>
      <c r="V21" s="330"/>
      <c r="W21" s="330"/>
      <c r="X21" s="330"/>
      <c r="Y21" s="405" t="s">
        <v>2000</v>
      </c>
      <c r="Z21" s="335" t="s">
        <v>2012</v>
      </c>
      <c r="AA21" s="405" t="s">
        <v>2013</v>
      </c>
      <c r="AB21" s="330"/>
      <c r="AC21" s="330"/>
      <c r="AD21" s="330"/>
      <c r="AE21" s="330"/>
      <c r="AF21" s="330"/>
      <c r="AG21" s="330"/>
      <c r="AH21" s="192" t="s">
        <v>8</v>
      </c>
      <c r="AI21" s="330" t="s">
        <v>1900</v>
      </c>
    </row>
    <row r="22" spans="1:35" s="397" customFormat="1" ht="23.1" x14ac:dyDescent="0.2">
      <c r="A22" s="288" t="s">
        <v>2010</v>
      </c>
      <c r="B22" s="408" t="s">
        <v>8</v>
      </c>
      <c r="C22" s="285" t="s">
        <v>1918</v>
      </c>
      <c r="D22" s="285" t="s">
        <v>2007</v>
      </c>
      <c r="E22" s="258" t="s">
        <v>2011</v>
      </c>
      <c r="F22" s="288"/>
      <c r="G22" s="375"/>
      <c r="H22" s="375"/>
      <c r="I22" s="375"/>
      <c r="J22" s="330">
        <v>1</v>
      </c>
      <c r="K22" s="407">
        <v>1760</v>
      </c>
      <c r="L22" s="333">
        <f>J22*K22</f>
        <v>1760</v>
      </c>
      <c r="M22" s="415">
        <f>L22*1.22</f>
        <v>2147.1999999999998</v>
      </c>
      <c r="N22" s="287"/>
      <c r="O22" s="287"/>
      <c r="P22" s="287"/>
      <c r="R22" s="330"/>
      <c r="S22" s="333"/>
      <c r="T22" s="404"/>
      <c r="U22" s="330"/>
      <c r="V22" s="330"/>
      <c r="W22" s="330"/>
      <c r="X22" s="330"/>
      <c r="AA22" s="405"/>
      <c r="AB22" s="330"/>
      <c r="AC22" s="330"/>
      <c r="AD22" s="330"/>
      <c r="AE22" s="330"/>
      <c r="AF22" s="330"/>
      <c r="AG22" s="330"/>
      <c r="AH22" s="192" t="s">
        <v>8</v>
      </c>
      <c r="AI22" s="330" t="s">
        <v>1895</v>
      </c>
    </row>
    <row r="23" spans="1:35" s="397" customFormat="1" ht="23.1" x14ac:dyDescent="0.2">
      <c r="A23" s="288">
        <v>19</v>
      </c>
      <c r="B23" s="401" t="s">
        <v>8</v>
      </c>
      <c r="C23" s="285" t="s">
        <v>1919</v>
      </c>
      <c r="D23" s="285" t="s">
        <v>1936</v>
      </c>
      <c r="E23" s="258" t="s">
        <v>1952</v>
      </c>
      <c r="F23" s="288">
        <v>1</v>
      </c>
      <c r="G23" s="375">
        <v>16129.1</v>
      </c>
      <c r="H23" s="375">
        <f t="shared" si="0"/>
        <v>16129.1</v>
      </c>
      <c r="I23" s="375">
        <f>H23</f>
        <v>16129.1</v>
      </c>
      <c r="J23" s="330"/>
      <c r="K23" s="330"/>
      <c r="L23" s="330"/>
      <c r="M23" s="330"/>
      <c r="N23" s="330"/>
      <c r="O23" s="403"/>
      <c r="P23" s="333">
        <f t="shared" si="4"/>
        <v>0</v>
      </c>
      <c r="Q23" s="333">
        <f t="shared" si="5"/>
        <v>0</v>
      </c>
      <c r="R23" s="330"/>
      <c r="S23" s="333">
        <f t="shared" si="6"/>
        <v>16129.1</v>
      </c>
      <c r="T23" s="404" t="e">
        <f t="shared" si="7"/>
        <v>#DIV/0!</v>
      </c>
      <c r="U23" s="330"/>
      <c r="V23" s="330"/>
      <c r="W23" s="330"/>
      <c r="X23" s="330"/>
      <c r="Y23" s="405"/>
      <c r="Z23" s="335"/>
      <c r="AA23" s="405"/>
      <c r="AB23" s="330"/>
      <c r="AC23" s="330"/>
      <c r="AD23" s="330"/>
      <c r="AE23" s="330"/>
      <c r="AF23" s="330"/>
      <c r="AG23" s="330"/>
      <c r="AH23" s="192" t="s">
        <v>8</v>
      </c>
      <c r="AI23" s="330"/>
    </row>
    <row r="24" spans="1:35" s="394" customFormat="1" ht="11.65" x14ac:dyDescent="0.2">
      <c r="A24" s="491" t="s">
        <v>59</v>
      </c>
      <c r="B24" s="491"/>
      <c r="C24" s="491"/>
      <c r="D24" s="491"/>
      <c r="E24" s="491"/>
      <c r="F24" s="491"/>
      <c r="G24" s="491"/>
      <c r="H24" s="491"/>
      <c r="I24" s="399">
        <f>SUM(I2:I23)</f>
        <v>1003999.9988999999</v>
      </c>
      <c r="J24" s="486" t="s">
        <v>59</v>
      </c>
      <c r="K24" s="487"/>
      <c r="L24" s="487"/>
      <c r="M24" s="487"/>
      <c r="N24" s="487"/>
      <c r="O24" s="488"/>
      <c r="P24" s="329">
        <f>SUM(P2:P23)</f>
        <v>565879.92999999993</v>
      </c>
      <c r="Q24" s="329">
        <f>SUM(Q2:Q23)</f>
        <v>682167.61460000009</v>
      </c>
      <c r="R24" s="329"/>
      <c r="S24" s="329">
        <f>SUM(S2:S23)</f>
        <v>311828.38429999998</v>
      </c>
      <c r="Y24" s="406"/>
      <c r="AA24" s="406"/>
    </row>
  </sheetData>
  <autoFilter ref="A1:AI24"/>
  <mergeCells count="2">
    <mergeCell ref="A24:H24"/>
    <mergeCell ref="J24:O24"/>
  </mergeCells>
  <printOptions horizontalCentered="1"/>
  <pageMargins left="0" right="0" top="0.74803149606299213" bottom="0.74803149606299213" header="0.31496062992125984" footer="0.31496062992125984"/>
  <pageSetup paperSize="9" scale="90" orientation="landscape" r:id="rId1"/>
  <headerFooter>
    <oddHeader>&amp;CAllegato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0"/>
  <sheetViews>
    <sheetView zoomScale="80" zoomScaleNormal="80" workbookViewId="0">
      <pane ySplit="1" topLeftCell="A23" activePane="bottomLeft" state="frozen"/>
      <selection activeCell="O1" sqref="O1"/>
      <selection pane="bottomLeft" activeCell="E34" sqref="E34"/>
    </sheetView>
  </sheetViews>
  <sheetFormatPr defaultColWidth="9.140625" defaultRowHeight="12" x14ac:dyDescent="0.2"/>
  <cols>
    <col min="1" max="1" width="4" style="28" bestFit="1" customWidth="1"/>
    <col min="2" max="2" width="6.28515625" style="29" customWidth="1"/>
    <col min="3" max="3" width="23.7109375" style="30" customWidth="1"/>
    <col min="4" max="4" width="17" style="30" customWidth="1"/>
    <col min="5" max="5" width="21.7109375" style="30" customWidth="1"/>
    <col min="6" max="6" width="4.42578125" style="29" customWidth="1"/>
    <col min="7" max="7" width="12.7109375" style="31" customWidth="1"/>
    <col min="8" max="8" width="12" style="31" customWidth="1"/>
    <col min="9" max="9" width="17" style="31" bestFit="1" customWidth="1"/>
    <col min="10" max="10" width="5.85546875" style="32" customWidth="1"/>
    <col min="11" max="11" width="11.28515625" style="59" customWidth="1"/>
    <col min="12" max="12" width="12.140625" style="59" customWidth="1"/>
    <col min="13" max="13" width="12.5703125" style="59" customWidth="1"/>
    <col min="14" max="14" width="5.42578125" style="32" customWidth="1"/>
    <col min="15" max="15" width="13.42578125" style="60" customWidth="1"/>
    <col min="16" max="16" width="11" style="60" customWidth="1"/>
    <col min="17" max="17" width="17" style="60" bestFit="1" customWidth="1"/>
    <col min="18" max="18" width="11.7109375" style="33" customWidth="1"/>
    <col min="19" max="19" width="13.42578125" style="60" customWidth="1"/>
    <col min="20" max="20" width="11.28515625" style="52" customWidth="1"/>
    <col min="21" max="24" width="13.7109375" style="61" customWidth="1"/>
    <col min="25" max="25" width="19.85546875" style="28" customWidth="1"/>
    <col min="26" max="26" width="13.5703125" style="28" customWidth="1"/>
    <col min="27" max="27" width="19.85546875" style="34" customWidth="1"/>
    <col min="28" max="28" width="26.42578125" style="29" customWidth="1"/>
    <col min="29" max="29" width="16.28515625" style="112" customWidth="1"/>
    <col min="30" max="30" width="14.85546875" style="112" customWidth="1"/>
    <col min="31" max="31" width="29.140625" style="28" customWidth="1"/>
    <col min="32" max="32" width="26.28515625" style="28" bestFit="1" customWidth="1"/>
    <col min="33" max="33" width="20.42578125" style="28" customWidth="1"/>
    <col min="34" max="34" width="16.5703125" style="28" customWidth="1"/>
    <col min="35" max="35" width="27.42578125" style="23" customWidth="1"/>
    <col min="36" max="36" width="9.140625" style="23" customWidth="1"/>
    <col min="37" max="16384" width="9.140625" style="23"/>
  </cols>
  <sheetData>
    <row r="1" spans="1:35" s="3" customFormat="1" ht="36" x14ac:dyDescent="0.25">
      <c r="A1" s="18" t="s">
        <v>0</v>
      </c>
      <c r="B1" s="18" t="s">
        <v>1</v>
      </c>
      <c r="C1" s="18" t="s">
        <v>2</v>
      </c>
      <c r="D1" s="18" t="s">
        <v>3</v>
      </c>
      <c r="E1" s="18" t="s">
        <v>4</v>
      </c>
      <c r="F1" s="18" t="s">
        <v>5</v>
      </c>
      <c r="G1" s="18" t="s">
        <v>60</v>
      </c>
      <c r="H1" s="18" t="s">
        <v>6</v>
      </c>
      <c r="I1" s="18" t="s">
        <v>7</v>
      </c>
      <c r="J1" s="18" t="s">
        <v>5</v>
      </c>
      <c r="K1" s="18" t="s">
        <v>105</v>
      </c>
      <c r="L1" s="18" t="s">
        <v>92</v>
      </c>
      <c r="M1" s="18" t="s">
        <v>61</v>
      </c>
      <c r="N1" s="18" t="s">
        <v>5</v>
      </c>
      <c r="O1" s="18" t="s">
        <v>67</v>
      </c>
      <c r="P1" s="18" t="s">
        <v>6</v>
      </c>
      <c r="Q1" s="18" t="s">
        <v>7</v>
      </c>
      <c r="R1" s="18" t="s">
        <v>313</v>
      </c>
      <c r="S1" s="18" t="s">
        <v>93</v>
      </c>
      <c r="T1" s="18" t="s">
        <v>267</v>
      </c>
      <c r="U1" s="18" t="s">
        <v>106</v>
      </c>
      <c r="V1" s="18" t="s">
        <v>107</v>
      </c>
      <c r="W1" s="18" t="s">
        <v>108</v>
      </c>
      <c r="X1" s="18" t="s">
        <v>109</v>
      </c>
      <c r="Y1" s="18" t="s">
        <v>110</v>
      </c>
      <c r="Z1" s="18" t="s">
        <v>111</v>
      </c>
      <c r="AA1" s="18" t="s">
        <v>112</v>
      </c>
      <c r="AB1" s="18" t="s">
        <v>113</v>
      </c>
      <c r="AC1" s="18" t="s">
        <v>114</v>
      </c>
      <c r="AD1" s="18" t="s">
        <v>115</v>
      </c>
      <c r="AE1" s="18" t="s">
        <v>116</v>
      </c>
      <c r="AF1" s="18" t="s">
        <v>117</v>
      </c>
      <c r="AG1" s="18" t="s">
        <v>118</v>
      </c>
      <c r="AH1" s="18" t="s">
        <v>1544</v>
      </c>
      <c r="AI1" s="18" t="s">
        <v>1540</v>
      </c>
    </row>
    <row r="2" spans="1:35" ht="24" x14ac:dyDescent="0.25">
      <c r="A2" s="105">
        <v>1</v>
      </c>
      <c r="B2" s="206" t="s">
        <v>8</v>
      </c>
      <c r="C2" s="121" t="s">
        <v>295</v>
      </c>
      <c r="D2" s="121" t="s">
        <v>291</v>
      </c>
      <c r="E2" s="121" t="s">
        <v>37</v>
      </c>
      <c r="F2" s="206">
        <v>2</v>
      </c>
      <c r="G2" s="208">
        <v>21437.5</v>
      </c>
      <c r="H2" s="208">
        <f t="shared" ref="H2:H60" si="0">F2*G2</f>
        <v>42875</v>
      </c>
      <c r="I2" s="208">
        <f t="shared" ref="I2:I60" si="1">H2*1.22</f>
        <v>52307.5</v>
      </c>
      <c r="J2" s="206">
        <v>2</v>
      </c>
      <c r="K2" s="209">
        <v>22000</v>
      </c>
      <c r="L2" s="209">
        <f>J2*K2</f>
        <v>44000</v>
      </c>
      <c r="M2" s="209">
        <f>L2*1.22</f>
        <v>53680</v>
      </c>
      <c r="N2" s="206">
        <v>2</v>
      </c>
      <c r="O2" s="209">
        <v>21437.5</v>
      </c>
      <c r="P2" s="209">
        <f t="shared" ref="P2:P10" si="2">N2*O2</f>
        <v>42875</v>
      </c>
      <c r="Q2" s="209">
        <f>P2*1.22</f>
        <v>52307.5</v>
      </c>
      <c r="R2" s="122" t="s">
        <v>153</v>
      </c>
      <c r="S2" s="209">
        <f>I2-Q2</f>
        <v>0</v>
      </c>
      <c r="T2" s="106">
        <f>1-Q2/M2</f>
        <v>2.5568181818181768E-2</v>
      </c>
      <c r="U2" s="123">
        <v>42192</v>
      </c>
      <c r="V2" s="123">
        <v>42207</v>
      </c>
      <c r="W2" s="123">
        <v>42216</v>
      </c>
      <c r="X2" s="123">
        <v>42249</v>
      </c>
      <c r="Y2" s="209" t="s">
        <v>451</v>
      </c>
      <c r="Z2" s="209"/>
      <c r="AA2" s="209" t="s">
        <v>154</v>
      </c>
      <c r="AB2" s="206" t="s">
        <v>375</v>
      </c>
      <c r="AC2" s="207" t="s">
        <v>801</v>
      </c>
      <c r="AD2" s="207">
        <v>42299</v>
      </c>
      <c r="AE2" s="105" t="s">
        <v>318</v>
      </c>
      <c r="AF2" s="206" t="s">
        <v>1274</v>
      </c>
      <c r="AG2" s="105" t="s">
        <v>414</v>
      </c>
      <c r="AH2" s="215" t="s">
        <v>8</v>
      </c>
      <c r="AI2" s="129" t="s">
        <v>1541</v>
      </c>
    </row>
    <row r="3" spans="1:35" ht="60" x14ac:dyDescent="0.25">
      <c r="A3" s="105">
        <v>2</v>
      </c>
      <c r="B3" s="206" t="s">
        <v>8</v>
      </c>
      <c r="C3" s="121" t="s">
        <v>9</v>
      </c>
      <c r="D3" s="121" t="s">
        <v>291</v>
      </c>
      <c r="E3" s="121" t="s">
        <v>54</v>
      </c>
      <c r="F3" s="206">
        <v>2</v>
      </c>
      <c r="G3" s="208">
        <v>66500</v>
      </c>
      <c r="H3" s="208">
        <f t="shared" si="0"/>
        <v>133000</v>
      </c>
      <c r="I3" s="208">
        <f t="shared" si="1"/>
        <v>162260</v>
      </c>
      <c r="J3" s="206">
        <v>2</v>
      </c>
      <c r="K3" s="209">
        <v>80000</v>
      </c>
      <c r="L3" s="209">
        <f t="shared" ref="L3:L27" si="3">J3*K3</f>
        <v>160000</v>
      </c>
      <c r="M3" s="209">
        <f t="shared" ref="M3:M27" si="4">L3*1.22</f>
        <v>195200</v>
      </c>
      <c r="N3" s="206">
        <v>2</v>
      </c>
      <c r="O3" s="209">
        <v>66500</v>
      </c>
      <c r="P3" s="209">
        <f t="shared" si="2"/>
        <v>133000</v>
      </c>
      <c r="Q3" s="209">
        <f t="shared" ref="Q3:Q10" si="5">P3*1.22</f>
        <v>162260</v>
      </c>
      <c r="R3" s="122" t="s">
        <v>153</v>
      </c>
      <c r="S3" s="209">
        <f t="shared" ref="S3:S60" si="6">I3-Q3</f>
        <v>0</v>
      </c>
      <c r="T3" s="106">
        <f t="shared" ref="T3:T60" si="7">1-Q3/M3</f>
        <v>0.16874999999999996</v>
      </c>
      <c r="U3" s="123">
        <v>42156</v>
      </c>
      <c r="V3" s="123">
        <v>42171</v>
      </c>
      <c r="W3" s="123">
        <v>42181</v>
      </c>
      <c r="X3" s="123">
        <v>42185</v>
      </c>
      <c r="Y3" s="209" t="s">
        <v>155</v>
      </c>
      <c r="Z3" s="209"/>
      <c r="AA3" s="122" t="s">
        <v>156</v>
      </c>
      <c r="AB3" s="206" t="s">
        <v>376</v>
      </c>
      <c r="AC3" s="207" t="s">
        <v>157</v>
      </c>
      <c r="AD3" s="207">
        <v>42241</v>
      </c>
      <c r="AE3" s="105" t="s">
        <v>158</v>
      </c>
      <c r="AF3" s="206" t="s">
        <v>1274</v>
      </c>
      <c r="AG3" s="206" t="s">
        <v>415</v>
      </c>
      <c r="AH3" s="215" t="s">
        <v>8</v>
      </c>
      <c r="AI3" s="129" t="s">
        <v>1541</v>
      </c>
    </row>
    <row r="4" spans="1:35" ht="24" x14ac:dyDescent="0.25">
      <c r="A4" s="105">
        <v>3</v>
      </c>
      <c r="B4" s="206" t="s">
        <v>8</v>
      </c>
      <c r="C4" s="121" t="s">
        <v>295</v>
      </c>
      <c r="D4" s="121" t="s">
        <v>291</v>
      </c>
      <c r="E4" s="121" t="s">
        <v>94</v>
      </c>
      <c r="F4" s="206">
        <v>2</v>
      </c>
      <c r="G4" s="208">
        <v>12990.82</v>
      </c>
      <c r="H4" s="208">
        <f t="shared" si="0"/>
        <v>25981.64</v>
      </c>
      <c r="I4" s="208">
        <f t="shared" si="1"/>
        <v>31697.6008</v>
      </c>
      <c r="J4" s="206">
        <v>2</v>
      </c>
      <c r="K4" s="208">
        <v>12990.82</v>
      </c>
      <c r="L4" s="209">
        <f t="shared" si="3"/>
        <v>25981.64</v>
      </c>
      <c r="M4" s="209">
        <f t="shared" si="4"/>
        <v>31697.6008</v>
      </c>
      <c r="N4" s="206">
        <v>2</v>
      </c>
      <c r="O4" s="208">
        <v>12990.82</v>
      </c>
      <c r="P4" s="209">
        <f t="shared" si="2"/>
        <v>25981.64</v>
      </c>
      <c r="Q4" s="209">
        <f t="shared" si="5"/>
        <v>31697.6008</v>
      </c>
      <c r="R4" s="122" t="s">
        <v>153</v>
      </c>
      <c r="S4" s="209">
        <f t="shared" si="6"/>
        <v>0</v>
      </c>
      <c r="T4" s="106">
        <f t="shared" si="7"/>
        <v>0</v>
      </c>
      <c r="U4" s="123">
        <v>42158</v>
      </c>
      <c r="V4" s="123">
        <v>42177</v>
      </c>
      <c r="W4" s="123">
        <v>42186</v>
      </c>
      <c r="X4" s="123">
        <v>42193</v>
      </c>
      <c r="Y4" s="447" t="s">
        <v>159</v>
      </c>
      <c r="Z4" s="447"/>
      <c r="AA4" s="447" t="s">
        <v>160</v>
      </c>
      <c r="AB4" s="437" t="s">
        <v>377</v>
      </c>
      <c r="AC4" s="436" t="s">
        <v>293</v>
      </c>
      <c r="AD4" s="436" t="s">
        <v>294</v>
      </c>
      <c r="AE4" s="438" t="s">
        <v>161</v>
      </c>
      <c r="AF4" s="206" t="s">
        <v>1274</v>
      </c>
      <c r="AG4" s="435" t="s">
        <v>416</v>
      </c>
      <c r="AH4" s="215" t="s">
        <v>8</v>
      </c>
      <c r="AI4" s="129" t="s">
        <v>1541</v>
      </c>
    </row>
    <row r="5" spans="1:35" ht="24" x14ac:dyDescent="0.25">
      <c r="A5" s="105">
        <v>4</v>
      </c>
      <c r="B5" s="206" t="s">
        <v>8</v>
      </c>
      <c r="C5" s="121" t="s">
        <v>295</v>
      </c>
      <c r="D5" s="121" t="s">
        <v>291</v>
      </c>
      <c r="E5" s="121" t="s">
        <v>94</v>
      </c>
      <c r="F5" s="206">
        <v>5</v>
      </c>
      <c r="G5" s="208">
        <v>12313.88</v>
      </c>
      <c r="H5" s="208">
        <f t="shared" si="0"/>
        <v>61569.399999999994</v>
      </c>
      <c r="I5" s="208">
        <f t="shared" si="1"/>
        <v>75114.667999999991</v>
      </c>
      <c r="J5" s="206">
        <v>5</v>
      </c>
      <c r="K5" s="208">
        <v>12313.88</v>
      </c>
      <c r="L5" s="209">
        <f t="shared" si="3"/>
        <v>61569.399999999994</v>
      </c>
      <c r="M5" s="209">
        <f t="shared" si="4"/>
        <v>75114.667999999991</v>
      </c>
      <c r="N5" s="206">
        <v>5</v>
      </c>
      <c r="O5" s="208">
        <v>12313.88</v>
      </c>
      <c r="P5" s="209">
        <f t="shared" si="2"/>
        <v>61569.399999999994</v>
      </c>
      <c r="Q5" s="209">
        <f t="shared" si="5"/>
        <v>75114.667999999991</v>
      </c>
      <c r="R5" s="122" t="s">
        <v>153</v>
      </c>
      <c r="S5" s="209">
        <f t="shared" si="6"/>
        <v>0</v>
      </c>
      <c r="T5" s="106">
        <f t="shared" si="7"/>
        <v>0</v>
      </c>
      <c r="U5" s="123">
        <v>42158</v>
      </c>
      <c r="V5" s="123">
        <v>42177</v>
      </c>
      <c r="W5" s="123">
        <v>42186</v>
      </c>
      <c r="X5" s="123">
        <v>42193</v>
      </c>
      <c r="Y5" s="447"/>
      <c r="Z5" s="447"/>
      <c r="AA5" s="447"/>
      <c r="AB5" s="437"/>
      <c r="AC5" s="436"/>
      <c r="AD5" s="436"/>
      <c r="AE5" s="439"/>
      <c r="AF5" s="206" t="s">
        <v>1274</v>
      </c>
      <c r="AG5" s="435"/>
      <c r="AH5" s="215" t="s">
        <v>8</v>
      </c>
      <c r="AI5" s="129" t="s">
        <v>1541</v>
      </c>
    </row>
    <row r="6" spans="1:35" ht="24" x14ac:dyDescent="0.25">
      <c r="A6" s="105">
        <v>5</v>
      </c>
      <c r="B6" s="206" t="s">
        <v>8</v>
      </c>
      <c r="C6" s="124" t="s">
        <v>53</v>
      </c>
      <c r="D6" s="121" t="s">
        <v>291</v>
      </c>
      <c r="E6" s="121" t="s">
        <v>94</v>
      </c>
      <c r="F6" s="125">
        <v>1</v>
      </c>
      <c r="G6" s="208">
        <v>6947.59</v>
      </c>
      <c r="H6" s="208">
        <f t="shared" si="0"/>
        <v>6947.59</v>
      </c>
      <c r="I6" s="208">
        <f t="shared" si="1"/>
        <v>8476.0597999999991</v>
      </c>
      <c r="J6" s="125">
        <v>1</v>
      </c>
      <c r="K6" s="208">
        <v>6948.59</v>
      </c>
      <c r="L6" s="209">
        <f>J6*K6</f>
        <v>6948.59</v>
      </c>
      <c r="M6" s="209">
        <f>L6*1.22</f>
        <v>8477.2798000000003</v>
      </c>
      <c r="N6" s="125">
        <v>1</v>
      </c>
      <c r="O6" s="209">
        <v>6947.9549999999999</v>
      </c>
      <c r="P6" s="209">
        <f>N6*O6</f>
        <v>6947.9549999999999</v>
      </c>
      <c r="Q6" s="209">
        <f>P6*1.22</f>
        <v>8476.5051000000003</v>
      </c>
      <c r="R6" s="122" t="s">
        <v>153</v>
      </c>
      <c r="S6" s="209">
        <f t="shared" si="6"/>
        <v>-0.44530000000122527</v>
      </c>
      <c r="T6" s="106">
        <f t="shared" si="7"/>
        <v>9.138544654385683E-5</v>
      </c>
      <c r="U6" s="123">
        <v>42158</v>
      </c>
      <c r="V6" s="123">
        <v>42177</v>
      </c>
      <c r="W6" s="123">
        <v>42186</v>
      </c>
      <c r="X6" s="123">
        <v>42193</v>
      </c>
      <c r="Y6" s="447"/>
      <c r="Z6" s="447"/>
      <c r="AA6" s="447"/>
      <c r="AB6" s="437"/>
      <c r="AC6" s="436"/>
      <c r="AD6" s="436"/>
      <c r="AE6" s="440"/>
      <c r="AF6" s="206" t="s">
        <v>1274</v>
      </c>
      <c r="AG6" s="435"/>
      <c r="AH6" s="215" t="s">
        <v>8</v>
      </c>
      <c r="AI6" s="129" t="s">
        <v>1541</v>
      </c>
    </row>
    <row r="7" spans="1:35" ht="24" x14ac:dyDescent="0.25">
      <c r="A7" s="105">
        <v>6</v>
      </c>
      <c r="B7" s="206" t="s">
        <v>8</v>
      </c>
      <c r="C7" s="121" t="s">
        <v>296</v>
      </c>
      <c r="D7" s="121" t="s">
        <v>291</v>
      </c>
      <c r="E7" s="121" t="s">
        <v>95</v>
      </c>
      <c r="F7" s="206">
        <v>6</v>
      </c>
      <c r="G7" s="208">
        <v>1246.6500000000001</v>
      </c>
      <c r="H7" s="208">
        <f t="shared" si="0"/>
        <v>7479.9000000000005</v>
      </c>
      <c r="I7" s="208">
        <f t="shared" si="1"/>
        <v>9125.478000000001</v>
      </c>
      <c r="J7" s="206">
        <v>6</v>
      </c>
      <c r="K7" s="209">
        <v>1246.6500000000001</v>
      </c>
      <c r="L7" s="209">
        <f t="shared" si="3"/>
        <v>7479.9000000000005</v>
      </c>
      <c r="M7" s="209">
        <f t="shared" si="4"/>
        <v>9125.478000000001</v>
      </c>
      <c r="N7" s="206">
        <v>6</v>
      </c>
      <c r="O7" s="209">
        <v>1246.6500000000001</v>
      </c>
      <c r="P7" s="209">
        <f t="shared" si="2"/>
        <v>7479.9000000000005</v>
      </c>
      <c r="Q7" s="209">
        <f t="shared" si="5"/>
        <v>9125.478000000001</v>
      </c>
      <c r="R7" s="122" t="s">
        <v>153</v>
      </c>
      <c r="S7" s="209">
        <f t="shared" si="6"/>
        <v>0</v>
      </c>
      <c r="T7" s="106">
        <f t="shared" si="7"/>
        <v>0</v>
      </c>
      <c r="U7" s="123">
        <v>42152</v>
      </c>
      <c r="V7" s="123">
        <v>42163</v>
      </c>
      <c r="W7" s="123">
        <v>42170</v>
      </c>
      <c r="X7" s="123">
        <v>42171</v>
      </c>
      <c r="Y7" s="105" t="s">
        <v>372</v>
      </c>
      <c r="Z7" s="209"/>
      <c r="AA7" s="105" t="s">
        <v>162</v>
      </c>
      <c r="AB7" s="206" t="s">
        <v>476</v>
      </c>
      <c r="AC7" s="207">
        <v>42181</v>
      </c>
      <c r="AD7" s="207">
        <v>42181</v>
      </c>
      <c r="AE7" s="105" t="s">
        <v>373</v>
      </c>
      <c r="AF7" s="206" t="s">
        <v>1274</v>
      </c>
      <c r="AG7" s="206" t="s">
        <v>417</v>
      </c>
      <c r="AH7" s="215" t="s">
        <v>8</v>
      </c>
      <c r="AI7" s="129" t="s">
        <v>1541</v>
      </c>
    </row>
    <row r="8" spans="1:35" ht="24" x14ac:dyDescent="0.25">
      <c r="A8" s="105">
        <v>7</v>
      </c>
      <c r="B8" s="206" t="s">
        <v>8</v>
      </c>
      <c r="C8" s="121" t="s">
        <v>296</v>
      </c>
      <c r="D8" s="121" t="s">
        <v>291</v>
      </c>
      <c r="E8" s="121" t="s">
        <v>13</v>
      </c>
      <c r="F8" s="206">
        <v>6</v>
      </c>
      <c r="G8" s="208">
        <v>849</v>
      </c>
      <c r="H8" s="208">
        <f t="shared" si="0"/>
        <v>5094</v>
      </c>
      <c r="I8" s="208">
        <f t="shared" si="1"/>
        <v>6214.68</v>
      </c>
      <c r="J8" s="206">
        <v>6</v>
      </c>
      <c r="K8" s="209">
        <v>849</v>
      </c>
      <c r="L8" s="209">
        <f t="shared" si="3"/>
        <v>5094</v>
      </c>
      <c r="M8" s="209">
        <f t="shared" si="4"/>
        <v>6214.68</v>
      </c>
      <c r="N8" s="206">
        <v>6</v>
      </c>
      <c r="O8" s="209">
        <v>848</v>
      </c>
      <c r="P8" s="209">
        <f t="shared" si="2"/>
        <v>5088</v>
      </c>
      <c r="Q8" s="209">
        <f t="shared" si="5"/>
        <v>6207.36</v>
      </c>
      <c r="R8" s="122" t="s">
        <v>153</v>
      </c>
      <c r="S8" s="209">
        <f t="shared" si="6"/>
        <v>7.3200000000006185</v>
      </c>
      <c r="T8" s="106">
        <f t="shared" si="7"/>
        <v>1.1778563015313326E-3</v>
      </c>
      <c r="U8" s="123">
        <v>42151</v>
      </c>
      <c r="V8" s="123">
        <v>42151</v>
      </c>
      <c r="W8" s="123">
        <v>42151</v>
      </c>
      <c r="X8" s="123">
        <v>42151</v>
      </c>
      <c r="Y8" s="105"/>
      <c r="Z8" s="123">
        <v>42151</v>
      </c>
      <c r="AA8" s="105" t="s">
        <v>374</v>
      </c>
      <c r="AB8" s="206" t="s">
        <v>121</v>
      </c>
      <c r="AC8" s="207">
        <v>42150</v>
      </c>
      <c r="AD8" s="207">
        <v>42174</v>
      </c>
      <c r="AE8" s="105" t="s">
        <v>385</v>
      </c>
      <c r="AF8" s="206" t="s">
        <v>1274</v>
      </c>
      <c r="AG8" s="206" t="s">
        <v>418</v>
      </c>
      <c r="AH8" s="215" t="s">
        <v>8</v>
      </c>
      <c r="AI8" s="129" t="s">
        <v>1541</v>
      </c>
    </row>
    <row r="9" spans="1:35" s="30" customFormat="1" ht="24" x14ac:dyDescent="0.25">
      <c r="A9" s="105">
        <v>8</v>
      </c>
      <c r="B9" s="206" t="s">
        <v>8</v>
      </c>
      <c r="C9" s="121" t="s">
        <v>9</v>
      </c>
      <c r="D9" s="121" t="s">
        <v>291</v>
      </c>
      <c r="E9" s="121" t="s">
        <v>96</v>
      </c>
      <c r="F9" s="126">
        <v>2</v>
      </c>
      <c r="G9" s="208">
        <v>18702.599999999999</v>
      </c>
      <c r="H9" s="208">
        <f t="shared" si="0"/>
        <v>37405.199999999997</v>
      </c>
      <c r="I9" s="208">
        <f t="shared" si="1"/>
        <v>45634.343999999997</v>
      </c>
      <c r="J9" s="126">
        <v>2</v>
      </c>
      <c r="K9" s="208">
        <v>27500</v>
      </c>
      <c r="L9" s="208">
        <f t="shared" si="3"/>
        <v>55000</v>
      </c>
      <c r="M9" s="208">
        <f t="shared" si="4"/>
        <v>67100</v>
      </c>
      <c r="N9" s="126">
        <v>2</v>
      </c>
      <c r="O9" s="208">
        <v>18702.599999999999</v>
      </c>
      <c r="P9" s="208">
        <f t="shared" si="2"/>
        <v>37405.199999999997</v>
      </c>
      <c r="Q9" s="209">
        <f t="shared" si="5"/>
        <v>45634.343999999997</v>
      </c>
      <c r="R9" s="127" t="s">
        <v>153</v>
      </c>
      <c r="S9" s="209">
        <f t="shared" si="6"/>
        <v>0</v>
      </c>
      <c r="T9" s="106">
        <f t="shared" si="7"/>
        <v>0.3199054545454546</v>
      </c>
      <c r="U9" s="207">
        <v>42269</v>
      </c>
      <c r="V9" s="123">
        <v>42284</v>
      </c>
      <c r="W9" s="207">
        <v>42305</v>
      </c>
      <c r="X9" s="207">
        <v>42317</v>
      </c>
      <c r="Y9" s="126" t="s">
        <v>163</v>
      </c>
      <c r="Z9" s="208"/>
      <c r="AA9" s="208" t="s">
        <v>164</v>
      </c>
      <c r="AB9" s="206" t="s">
        <v>378</v>
      </c>
      <c r="AC9" s="207">
        <v>42430</v>
      </c>
      <c r="AD9" s="207">
        <v>42437</v>
      </c>
      <c r="AE9" s="206" t="s">
        <v>343</v>
      </c>
      <c r="AF9" s="206" t="s">
        <v>1274</v>
      </c>
      <c r="AG9" s="206" t="s">
        <v>419</v>
      </c>
      <c r="AH9" s="215" t="s">
        <v>8</v>
      </c>
      <c r="AI9" s="129" t="s">
        <v>1541</v>
      </c>
    </row>
    <row r="10" spans="1:35" ht="24" x14ac:dyDescent="0.25">
      <c r="A10" s="105">
        <v>9</v>
      </c>
      <c r="B10" s="206" t="s">
        <v>8</v>
      </c>
      <c r="C10" s="121" t="s">
        <v>295</v>
      </c>
      <c r="D10" s="121" t="s">
        <v>291</v>
      </c>
      <c r="E10" s="121" t="s">
        <v>65</v>
      </c>
      <c r="F10" s="206">
        <v>2</v>
      </c>
      <c r="G10" s="208">
        <v>7400</v>
      </c>
      <c r="H10" s="208">
        <f t="shared" si="0"/>
        <v>14800</v>
      </c>
      <c r="I10" s="208">
        <f t="shared" si="1"/>
        <v>18056</v>
      </c>
      <c r="J10" s="206">
        <v>2</v>
      </c>
      <c r="K10" s="209">
        <v>7400</v>
      </c>
      <c r="L10" s="209">
        <f t="shared" si="3"/>
        <v>14800</v>
      </c>
      <c r="M10" s="209">
        <f t="shared" si="4"/>
        <v>18056</v>
      </c>
      <c r="N10" s="206">
        <v>2</v>
      </c>
      <c r="O10" s="209">
        <v>7400</v>
      </c>
      <c r="P10" s="209">
        <f t="shared" si="2"/>
        <v>14800</v>
      </c>
      <c r="Q10" s="209">
        <f t="shared" si="5"/>
        <v>18056</v>
      </c>
      <c r="R10" s="122" t="s">
        <v>153</v>
      </c>
      <c r="S10" s="209">
        <f t="shared" si="6"/>
        <v>0</v>
      </c>
      <c r="T10" s="106">
        <f t="shared" si="7"/>
        <v>0</v>
      </c>
      <c r="U10" s="128">
        <v>42151</v>
      </c>
      <c r="V10" s="128">
        <v>42165</v>
      </c>
      <c r="W10" s="123">
        <v>42173</v>
      </c>
      <c r="X10" s="123">
        <v>42173</v>
      </c>
      <c r="Y10" s="105" t="s">
        <v>409</v>
      </c>
      <c r="Z10" s="209"/>
      <c r="AA10" s="105" t="s">
        <v>407</v>
      </c>
      <c r="AB10" s="206" t="s">
        <v>408</v>
      </c>
      <c r="AC10" s="207">
        <v>42173</v>
      </c>
      <c r="AD10" s="207">
        <v>42174</v>
      </c>
      <c r="AE10" s="105" t="s">
        <v>165</v>
      </c>
      <c r="AF10" s="206" t="s">
        <v>1274</v>
      </c>
      <c r="AG10" s="105" t="s">
        <v>420</v>
      </c>
      <c r="AH10" s="215" t="s">
        <v>8</v>
      </c>
      <c r="AI10" s="129" t="s">
        <v>1541</v>
      </c>
    </row>
    <row r="11" spans="1:35" ht="48" x14ac:dyDescent="0.25">
      <c r="A11" s="105">
        <v>10</v>
      </c>
      <c r="B11" s="206" t="s">
        <v>8</v>
      </c>
      <c r="C11" s="121" t="s">
        <v>9</v>
      </c>
      <c r="D11" s="121" t="s">
        <v>291</v>
      </c>
      <c r="E11" s="121" t="s">
        <v>97</v>
      </c>
      <c r="F11" s="125">
        <v>4</v>
      </c>
      <c r="G11" s="208">
        <v>12495</v>
      </c>
      <c r="H11" s="208">
        <f t="shared" si="0"/>
        <v>49980</v>
      </c>
      <c r="I11" s="208">
        <f t="shared" si="1"/>
        <v>60975.6</v>
      </c>
      <c r="J11" s="125">
        <v>4</v>
      </c>
      <c r="K11" s="208">
        <v>12500</v>
      </c>
      <c r="L11" s="209">
        <f>J11*K11</f>
        <v>50000</v>
      </c>
      <c r="M11" s="209">
        <f>L11*1.22</f>
        <v>61000</v>
      </c>
      <c r="N11" s="125">
        <v>4</v>
      </c>
      <c r="O11" s="209">
        <v>12495</v>
      </c>
      <c r="P11" s="209">
        <f t="shared" ref="P11:P23" si="8">N11*O11</f>
        <v>49980</v>
      </c>
      <c r="Q11" s="209">
        <f>P11*1.22</f>
        <v>60975.6</v>
      </c>
      <c r="R11" s="122" t="s">
        <v>153</v>
      </c>
      <c r="S11" s="209">
        <f t="shared" si="6"/>
        <v>0</v>
      </c>
      <c r="T11" s="106">
        <f t="shared" si="7"/>
        <v>4.0000000000006697E-4</v>
      </c>
      <c r="U11" s="123">
        <v>42213</v>
      </c>
      <c r="V11" s="123">
        <v>42258</v>
      </c>
      <c r="W11" s="123">
        <v>42291</v>
      </c>
      <c r="X11" s="123">
        <v>42297</v>
      </c>
      <c r="Y11" s="209" t="s">
        <v>166</v>
      </c>
      <c r="Z11" s="209"/>
      <c r="AA11" s="122" t="s">
        <v>450</v>
      </c>
      <c r="AB11" s="206" t="s">
        <v>380</v>
      </c>
      <c r="AC11" s="207">
        <v>42355</v>
      </c>
      <c r="AD11" s="127" t="s">
        <v>594</v>
      </c>
      <c r="AE11" s="206" t="s">
        <v>593</v>
      </c>
      <c r="AF11" s="206" t="s">
        <v>1274</v>
      </c>
      <c r="AG11" s="105" t="s">
        <v>617</v>
      </c>
      <c r="AH11" s="215" t="s">
        <v>8</v>
      </c>
      <c r="AI11" s="129" t="s">
        <v>1541</v>
      </c>
    </row>
    <row r="12" spans="1:35" ht="48" x14ac:dyDescent="0.25">
      <c r="A12" s="105">
        <v>11</v>
      </c>
      <c r="B12" s="206" t="s">
        <v>8</v>
      </c>
      <c r="C12" s="121" t="s">
        <v>9</v>
      </c>
      <c r="D12" s="121" t="s">
        <v>291</v>
      </c>
      <c r="E12" s="121" t="s">
        <v>301</v>
      </c>
      <c r="F12" s="206">
        <v>3</v>
      </c>
      <c r="G12" s="208">
        <v>2216.3344999999999</v>
      </c>
      <c r="H12" s="208">
        <f t="shared" si="0"/>
        <v>6649.0034999999998</v>
      </c>
      <c r="I12" s="208">
        <f>H12</f>
        <v>6649.0034999999998</v>
      </c>
      <c r="J12" s="206">
        <v>3</v>
      </c>
      <c r="K12" s="209">
        <v>2500</v>
      </c>
      <c r="L12" s="209">
        <f t="shared" si="3"/>
        <v>7500</v>
      </c>
      <c r="M12" s="209">
        <f t="shared" si="4"/>
        <v>9150</v>
      </c>
      <c r="N12" s="206">
        <v>3</v>
      </c>
      <c r="O12" s="209">
        <v>2216.3330000000001</v>
      </c>
      <c r="P12" s="209">
        <f t="shared" si="8"/>
        <v>6648.9989999999998</v>
      </c>
      <c r="Q12" s="209">
        <f>P12</f>
        <v>6648.9989999999998</v>
      </c>
      <c r="R12" s="122" t="s">
        <v>153</v>
      </c>
      <c r="S12" s="209">
        <f t="shared" si="6"/>
        <v>4.500000000007276E-3</v>
      </c>
      <c r="T12" s="106">
        <f t="shared" si="7"/>
        <v>0.2733334426229509</v>
      </c>
      <c r="U12" s="123">
        <v>42020</v>
      </c>
      <c r="V12" s="123">
        <v>42040</v>
      </c>
      <c r="W12" s="123">
        <v>42053</v>
      </c>
      <c r="X12" s="123">
        <v>42059</v>
      </c>
      <c r="Y12" s="105" t="s">
        <v>167</v>
      </c>
      <c r="Z12" s="209"/>
      <c r="AA12" s="105" t="s">
        <v>168</v>
      </c>
      <c r="AB12" s="206" t="s">
        <v>475</v>
      </c>
      <c r="AC12" s="207" t="s">
        <v>300</v>
      </c>
      <c r="AD12" s="207">
        <v>42275</v>
      </c>
      <c r="AE12" s="105" t="s">
        <v>366</v>
      </c>
      <c r="AF12" s="206" t="s">
        <v>1274</v>
      </c>
      <c r="AG12" s="105" t="s">
        <v>454</v>
      </c>
      <c r="AH12" s="215" t="s">
        <v>8</v>
      </c>
      <c r="AI12" s="129" t="s">
        <v>1541</v>
      </c>
    </row>
    <row r="13" spans="1:35" s="30" customFormat="1" ht="24" x14ac:dyDescent="0.25">
      <c r="A13" s="105">
        <v>12</v>
      </c>
      <c r="B13" s="206" t="s">
        <v>8</v>
      </c>
      <c r="C13" s="121" t="s">
        <v>295</v>
      </c>
      <c r="D13" s="121" t="s">
        <v>290</v>
      </c>
      <c r="E13" s="121" t="s">
        <v>98</v>
      </c>
      <c r="F13" s="126">
        <v>2</v>
      </c>
      <c r="G13" s="208">
        <v>38000</v>
      </c>
      <c r="H13" s="208">
        <f t="shared" si="0"/>
        <v>76000</v>
      </c>
      <c r="I13" s="208">
        <f t="shared" si="1"/>
        <v>92720</v>
      </c>
      <c r="J13" s="126">
        <v>2</v>
      </c>
      <c r="K13" s="208">
        <v>40000</v>
      </c>
      <c r="L13" s="208">
        <f t="shared" si="3"/>
        <v>80000</v>
      </c>
      <c r="M13" s="208">
        <f t="shared" si="4"/>
        <v>97600</v>
      </c>
      <c r="N13" s="126">
        <v>2</v>
      </c>
      <c r="O13" s="208">
        <v>38000</v>
      </c>
      <c r="P13" s="208">
        <f t="shared" si="8"/>
        <v>76000</v>
      </c>
      <c r="Q13" s="209">
        <f t="shared" ref="Q13:Q18" si="9">P13*1.22</f>
        <v>92720</v>
      </c>
      <c r="R13" s="127" t="s">
        <v>153</v>
      </c>
      <c r="S13" s="209">
        <f t="shared" si="6"/>
        <v>0</v>
      </c>
      <c r="T13" s="106">
        <f t="shared" si="7"/>
        <v>5.0000000000000044E-2</v>
      </c>
      <c r="U13" s="207">
        <v>42163</v>
      </c>
      <c r="V13" s="123">
        <v>42165</v>
      </c>
      <c r="W13" s="207">
        <v>42170</v>
      </c>
      <c r="X13" s="207">
        <v>42178</v>
      </c>
      <c r="Y13" s="126" t="s">
        <v>280</v>
      </c>
      <c r="Z13" s="208"/>
      <c r="AA13" s="208" t="s">
        <v>169</v>
      </c>
      <c r="AB13" s="206" t="s">
        <v>379</v>
      </c>
      <c r="AC13" s="207">
        <v>42181</v>
      </c>
      <c r="AD13" s="207" t="s">
        <v>802</v>
      </c>
      <c r="AE13" s="206" t="s">
        <v>170</v>
      </c>
      <c r="AF13" s="206" t="s">
        <v>1274</v>
      </c>
      <c r="AG13" s="206" t="s">
        <v>421</v>
      </c>
      <c r="AH13" s="215" t="s">
        <v>8</v>
      </c>
      <c r="AI13" s="129" t="s">
        <v>1541</v>
      </c>
    </row>
    <row r="14" spans="1:35" s="30" customFormat="1" ht="24" x14ac:dyDescent="0.25">
      <c r="A14" s="105">
        <v>13</v>
      </c>
      <c r="B14" s="206" t="s">
        <v>8</v>
      </c>
      <c r="C14" s="121" t="s">
        <v>9</v>
      </c>
      <c r="D14" s="121" t="s">
        <v>290</v>
      </c>
      <c r="E14" s="121" t="s">
        <v>99</v>
      </c>
      <c r="F14" s="126">
        <v>10</v>
      </c>
      <c r="G14" s="208">
        <v>578</v>
      </c>
      <c r="H14" s="208">
        <f t="shared" si="0"/>
        <v>5780</v>
      </c>
      <c r="I14" s="208">
        <f t="shared" si="1"/>
        <v>7051.5999999999995</v>
      </c>
      <c r="J14" s="126">
        <v>10</v>
      </c>
      <c r="K14" s="208">
        <v>750</v>
      </c>
      <c r="L14" s="208">
        <f t="shared" si="3"/>
        <v>7500</v>
      </c>
      <c r="M14" s="208">
        <f t="shared" si="4"/>
        <v>9150</v>
      </c>
      <c r="N14" s="126">
        <v>10</v>
      </c>
      <c r="O14" s="208">
        <v>578</v>
      </c>
      <c r="P14" s="208">
        <f t="shared" si="8"/>
        <v>5780</v>
      </c>
      <c r="Q14" s="209">
        <f t="shared" si="9"/>
        <v>7051.5999999999995</v>
      </c>
      <c r="R14" s="127" t="s">
        <v>153</v>
      </c>
      <c r="S14" s="209">
        <f t="shared" si="6"/>
        <v>0</v>
      </c>
      <c r="T14" s="106">
        <f t="shared" si="7"/>
        <v>0.22933333333333339</v>
      </c>
      <c r="U14" s="207">
        <v>42192</v>
      </c>
      <c r="V14" s="123">
        <v>42207</v>
      </c>
      <c r="W14" s="207">
        <v>42269</v>
      </c>
      <c r="X14" s="207">
        <v>42272</v>
      </c>
      <c r="Y14" s="126" t="s">
        <v>171</v>
      </c>
      <c r="Z14" s="208"/>
      <c r="AA14" s="208" t="s">
        <v>172</v>
      </c>
      <c r="AB14" s="126" t="s">
        <v>477</v>
      </c>
      <c r="AC14" s="207">
        <v>42311</v>
      </c>
      <c r="AD14" s="207">
        <v>42313</v>
      </c>
      <c r="AE14" s="206" t="s">
        <v>361</v>
      </c>
      <c r="AF14" s="206" t="s">
        <v>1274</v>
      </c>
      <c r="AG14" s="206" t="s">
        <v>422</v>
      </c>
      <c r="AH14" s="215" t="s">
        <v>8</v>
      </c>
      <c r="AI14" s="129" t="s">
        <v>1541</v>
      </c>
    </row>
    <row r="15" spans="1:35" s="30" customFormat="1" ht="24" x14ac:dyDescent="0.25">
      <c r="A15" s="105">
        <v>14</v>
      </c>
      <c r="B15" s="206" t="s">
        <v>8</v>
      </c>
      <c r="C15" s="121" t="s">
        <v>295</v>
      </c>
      <c r="D15" s="121" t="s">
        <v>290</v>
      </c>
      <c r="E15" s="121" t="s">
        <v>101</v>
      </c>
      <c r="F15" s="126">
        <v>4</v>
      </c>
      <c r="G15" s="208">
        <v>1575</v>
      </c>
      <c r="H15" s="208">
        <f t="shared" si="0"/>
        <v>6300</v>
      </c>
      <c r="I15" s="208">
        <f t="shared" si="1"/>
        <v>7686</v>
      </c>
      <c r="J15" s="126">
        <v>4</v>
      </c>
      <c r="K15" s="208">
        <v>4500</v>
      </c>
      <c r="L15" s="208">
        <f t="shared" si="3"/>
        <v>18000</v>
      </c>
      <c r="M15" s="208">
        <f t="shared" si="4"/>
        <v>21960</v>
      </c>
      <c r="N15" s="126">
        <v>4</v>
      </c>
      <c r="O15" s="208">
        <v>1575</v>
      </c>
      <c r="P15" s="208">
        <f t="shared" si="8"/>
        <v>6300</v>
      </c>
      <c r="Q15" s="209">
        <f t="shared" si="9"/>
        <v>7686</v>
      </c>
      <c r="R15" s="127" t="s">
        <v>153</v>
      </c>
      <c r="S15" s="209">
        <f t="shared" si="6"/>
        <v>0</v>
      </c>
      <c r="T15" s="106">
        <f t="shared" si="7"/>
        <v>0.65</v>
      </c>
      <c r="U15" s="207">
        <v>42158</v>
      </c>
      <c r="V15" s="123">
        <v>42171</v>
      </c>
      <c r="W15" s="207">
        <v>42184</v>
      </c>
      <c r="X15" s="207">
        <v>42186</v>
      </c>
      <c r="Y15" s="126" t="s">
        <v>173</v>
      </c>
      <c r="Z15" s="208"/>
      <c r="AA15" s="208" t="s">
        <v>174</v>
      </c>
      <c r="AB15" s="126" t="s">
        <v>478</v>
      </c>
      <c r="AC15" s="207">
        <v>42258</v>
      </c>
      <c r="AD15" s="207" t="s">
        <v>803</v>
      </c>
      <c r="AE15" s="206" t="s">
        <v>360</v>
      </c>
      <c r="AF15" s="206" t="s">
        <v>1274</v>
      </c>
      <c r="AG15" s="206" t="s">
        <v>423</v>
      </c>
      <c r="AH15" s="215" t="s">
        <v>8</v>
      </c>
      <c r="AI15" s="129" t="s">
        <v>1541</v>
      </c>
    </row>
    <row r="16" spans="1:35" s="30" customFormat="1" ht="24" x14ac:dyDescent="0.25">
      <c r="A16" s="105">
        <v>15</v>
      </c>
      <c r="B16" s="206" t="s">
        <v>8</v>
      </c>
      <c r="C16" s="121" t="s">
        <v>9</v>
      </c>
      <c r="D16" s="121" t="s">
        <v>290</v>
      </c>
      <c r="E16" s="121" t="s">
        <v>102</v>
      </c>
      <c r="F16" s="126">
        <v>1</v>
      </c>
      <c r="G16" s="208">
        <v>5800</v>
      </c>
      <c r="H16" s="208">
        <f t="shared" si="0"/>
        <v>5800</v>
      </c>
      <c r="I16" s="208">
        <f t="shared" si="1"/>
        <v>7076</v>
      </c>
      <c r="J16" s="126">
        <v>1</v>
      </c>
      <c r="K16" s="208">
        <v>6000</v>
      </c>
      <c r="L16" s="208">
        <f>J16*K16</f>
        <v>6000</v>
      </c>
      <c r="M16" s="208">
        <f>L16*1.22</f>
        <v>7320</v>
      </c>
      <c r="N16" s="126">
        <v>1</v>
      </c>
      <c r="O16" s="208">
        <v>5800</v>
      </c>
      <c r="P16" s="208">
        <f t="shared" si="8"/>
        <v>5800</v>
      </c>
      <c r="Q16" s="208">
        <f t="shared" si="9"/>
        <v>7076</v>
      </c>
      <c r="R16" s="127" t="s">
        <v>153</v>
      </c>
      <c r="S16" s="209">
        <f t="shared" si="6"/>
        <v>0</v>
      </c>
      <c r="T16" s="106">
        <f t="shared" si="7"/>
        <v>3.3333333333333326E-2</v>
      </c>
      <c r="U16" s="207">
        <v>42192</v>
      </c>
      <c r="V16" s="123">
        <v>42207</v>
      </c>
      <c r="W16" s="207">
        <v>42265</v>
      </c>
      <c r="X16" s="207">
        <v>42272</v>
      </c>
      <c r="Y16" s="126" t="s">
        <v>175</v>
      </c>
      <c r="Z16" s="208"/>
      <c r="AA16" s="208" t="s">
        <v>484</v>
      </c>
      <c r="AB16" s="126" t="s">
        <v>479</v>
      </c>
      <c r="AC16" s="207">
        <v>42276</v>
      </c>
      <c r="AD16" s="207">
        <v>42348</v>
      </c>
      <c r="AE16" s="206" t="s">
        <v>311</v>
      </c>
      <c r="AF16" s="206" t="s">
        <v>1274</v>
      </c>
      <c r="AG16" s="206" t="s">
        <v>424</v>
      </c>
      <c r="AH16" s="215" t="s">
        <v>8</v>
      </c>
      <c r="AI16" s="129" t="s">
        <v>1541</v>
      </c>
    </row>
    <row r="17" spans="1:35" s="30" customFormat="1" ht="24" x14ac:dyDescent="0.25">
      <c r="A17" s="105">
        <v>16</v>
      </c>
      <c r="B17" s="206" t="s">
        <v>8</v>
      </c>
      <c r="C17" s="121" t="s">
        <v>295</v>
      </c>
      <c r="D17" s="121" t="s">
        <v>290</v>
      </c>
      <c r="E17" s="121" t="s">
        <v>302</v>
      </c>
      <c r="F17" s="126">
        <v>5</v>
      </c>
      <c r="G17" s="208">
        <v>4979.1400000000003</v>
      </c>
      <c r="H17" s="208">
        <f t="shared" si="0"/>
        <v>24895.7</v>
      </c>
      <c r="I17" s="208">
        <f t="shared" si="1"/>
        <v>30372.754000000001</v>
      </c>
      <c r="J17" s="126">
        <v>5</v>
      </c>
      <c r="K17" s="208">
        <v>6000</v>
      </c>
      <c r="L17" s="208">
        <f t="shared" si="3"/>
        <v>30000</v>
      </c>
      <c r="M17" s="208">
        <f t="shared" si="4"/>
        <v>36600</v>
      </c>
      <c r="N17" s="126">
        <v>5</v>
      </c>
      <c r="O17" s="208">
        <v>4979.1400000000003</v>
      </c>
      <c r="P17" s="208">
        <f t="shared" si="8"/>
        <v>24895.7</v>
      </c>
      <c r="Q17" s="209">
        <f t="shared" si="9"/>
        <v>30372.754000000001</v>
      </c>
      <c r="R17" s="127" t="s">
        <v>153</v>
      </c>
      <c r="S17" s="209">
        <f t="shared" si="6"/>
        <v>0</v>
      </c>
      <c r="T17" s="106">
        <f t="shared" si="7"/>
        <v>0.17014333333333331</v>
      </c>
      <c r="U17" s="207">
        <v>42209</v>
      </c>
      <c r="V17" s="123">
        <v>42254</v>
      </c>
      <c r="W17" s="207">
        <v>42291</v>
      </c>
      <c r="X17" s="207">
        <v>42292</v>
      </c>
      <c r="Y17" s="126" t="s">
        <v>177</v>
      </c>
      <c r="Z17" s="208"/>
      <c r="AA17" s="208" t="s">
        <v>178</v>
      </c>
      <c r="AB17" s="206" t="s">
        <v>382</v>
      </c>
      <c r="AC17" s="207">
        <v>42360</v>
      </c>
      <c r="AD17" s="207">
        <v>42501</v>
      </c>
      <c r="AE17" s="206" t="s">
        <v>577</v>
      </c>
      <c r="AF17" s="206" t="s">
        <v>1274</v>
      </c>
      <c r="AG17" s="206" t="s">
        <v>578</v>
      </c>
      <c r="AH17" s="215" t="s">
        <v>8</v>
      </c>
      <c r="AI17" s="129" t="s">
        <v>1541</v>
      </c>
    </row>
    <row r="18" spans="1:35" s="30" customFormat="1" ht="24" x14ac:dyDescent="0.25">
      <c r="A18" s="105">
        <v>17</v>
      </c>
      <c r="B18" s="206" t="s">
        <v>8</v>
      </c>
      <c r="C18" s="121" t="s">
        <v>295</v>
      </c>
      <c r="D18" s="121" t="s">
        <v>290</v>
      </c>
      <c r="E18" s="121" t="s">
        <v>100</v>
      </c>
      <c r="F18" s="126">
        <v>8</v>
      </c>
      <c r="G18" s="208">
        <v>12700</v>
      </c>
      <c r="H18" s="208">
        <f t="shared" si="0"/>
        <v>101600</v>
      </c>
      <c r="I18" s="208">
        <f t="shared" si="1"/>
        <v>123952</v>
      </c>
      <c r="J18" s="126">
        <v>8</v>
      </c>
      <c r="K18" s="208">
        <v>15000</v>
      </c>
      <c r="L18" s="208">
        <f>J18*K18</f>
        <v>120000</v>
      </c>
      <c r="M18" s="208">
        <f>L18*1.22</f>
        <v>146400</v>
      </c>
      <c r="N18" s="126">
        <v>8</v>
      </c>
      <c r="O18" s="208">
        <v>12700</v>
      </c>
      <c r="P18" s="208">
        <f t="shared" si="8"/>
        <v>101600</v>
      </c>
      <c r="Q18" s="208">
        <f t="shared" si="9"/>
        <v>123952</v>
      </c>
      <c r="R18" s="127" t="s">
        <v>153</v>
      </c>
      <c r="S18" s="209">
        <f t="shared" si="6"/>
        <v>0</v>
      </c>
      <c r="T18" s="106">
        <f t="shared" si="7"/>
        <v>0.15333333333333332</v>
      </c>
      <c r="U18" s="207">
        <v>42151</v>
      </c>
      <c r="V18" s="123">
        <v>42166</v>
      </c>
      <c r="W18" s="207">
        <v>42184</v>
      </c>
      <c r="X18" s="207">
        <v>42188</v>
      </c>
      <c r="Y18" s="126" t="s">
        <v>179</v>
      </c>
      <c r="Z18" s="208"/>
      <c r="AA18" s="208" t="s">
        <v>180</v>
      </c>
      <c r="AB18" s="206" t="s">
        <v>381</v>
      </c>
      <c r="AC18" s="207">
        <v>42193</v>
      </c>
      <c r="AD18" s="207" t="s">
        <v>804</v>
      </c>
      <c r="AE18" s="206" t="s">
        <v>181</v>
      </c>
      <c r="AF18" s="206" t="s">
        <v>1274</v>
      </c>
      <c r="AG18" s="206" t="s">
        <v>425</v>
      </c>
      <c r="AH18" s="215" t="s">
        <v>8</v>
      </c>
      <c r="AI18" s="129" t="s">
        <v>1541</v>
      </c>
    </row>
    <row r="19" spans="1:35" s="30" customFormat="1" ht="24" x14ac:dyDescent="0.25">
      <c r="A19" s="105">
        <v>18</v>
      </c>
      <c r="B19" s="206" t="s">
        <v>8</v>
      </c>
      <c r="C19" s="121" t="s">
        <v>9</v>
      </c>
      <c r="D19" s="121" t="s">
        <v>290</v>
      </c>
      <c r="E19" s="121" t="s">
        <v>103</v>
      </c>
      <c r="F19" s="126">
        <v>1</v>
      </c>
      <c r="G19" s="208">
        <v>4080</v>
      </c>
      <c r="H19" s="208">
        <f t="shared" si="0"/>
        <v>4080</v>
      </c>
      <c r="I19" s="208">
        <f t="shared" si="1"/>
        <v>4977.5999999999995</v>
      </c>
      <c r="J19" s="126">
        <v>1</v>
      </c>
      <c r="K19" s="208">
        <v>6500</v>
      </c>
      <c r="L19" s="208">
        <f>J19*K19</f>
        <v>6500</v>
      </c>
      <c r="M19" s="208">
        <f>L19*1.22</f>
        <v>7930</v>
      </c>
      <c r="N19" s="126">
        <v>1</v>
      </c>
      <c r="O19" s="208">
        <v>4080</v>
      </c>
      <c r="P19" s="208">
        <f t="shared" si="8"/>
        <v>4080</v>
      </c>
      <c r="Q19" s="208">
        <f t="shared" ref="Q19:Q27" si="10">P19*1.22</f>
        <v>4977.5999999999995</v>
      </c>
      <c r="R19" s="127" t="s">
        <v>153</v>
      </c>
      <c r="S19" s="209">
        <f t="shared" si="6"/>
        <v>0</v>
      </c>
      <c r="T19" s="106">
        <f t="shared" si="7"/>
        <v>0.37230769230769234</v>
      </c>
      <c r="U19" s="207">
        <v>42192</v>
      </c>
      <c r="V19" s="123">
        <v>42207</v>
      </c>
      <c r="W19" s="207">
        <v>42265</v>
      </c>
      <c r="X19" s="207">
        <v>42272</v>
      </c>
      <c r="Y19" s="126" t="s">
        <v>175</v>
      </c>
      <c r="Z19" s="208"/>
      <c r="AA19" s="208" t="s">
        <v>176</v>
      </c>
      <c r="AB19" s="126" t="s">
        <v>479</v>
      </c>
      <c r="AC19" s="207">
        <v>42289</v>
      </c>
      <c r="AD19" s="207">
        <v>42290</v>
      </c>
      <c r="AE19" s="206" t="s">
        <v>312</v>
      </c>
      <c r="AF19" s="206" t="s">
        <v>1274</v>
      </c>
      <c r="AG19" s="206" t="s">
        <v>426</v>
      </c>
      <c r="AH19" s="215" t="s">
        <v>8</v>
      </c>
      <c r="AI19" s="129" t="s">
        <v>1541</v>
      </c>
    </row>
    <row r="20" spans="1:35" s="30" customFormat="1" ht="24" x14ac:dyDescent="0.25">
      <c r="A20" s="105">
        <v>19</v>
      </c>
      <c r="B20" s="206" t="s">
        <v>8</v>
      </c>
      <c r="C20" s="121" t="s">
        <v>53</v>
      </c>
      <c r="D20" s="121" t="s">
        <v>290</v>
      </c>
      <c r="E20" s="121" t="s">
        <v>102</v>
      </c>
      <c r="F20" s="126">
        <v>1</v>
      </c>
      <c r="G20" s="208">
        <v>5799</v>
      </c>
      <c r="H20" s="208">
        <f t="shared" si="0"/>
        <v>5799</v>
      </c>
      <c r="I20" s="208">
        <f t="shared" si="1"/>
        <v>7074.78</v>
      </c>
      <c r="J20" s="126">
        <v>1</v>
      </c>
      <c r="K20" s="208">
        <v>5800</v>
      </c>
      <c r="L20" s="208">
        <f>J20*K20</f>
        <v>5800</v>
      </c>
      <c r="M20" s="208">
        <f>L20*1.22</f>
        <v>7076</v>
      </c>
      <c r="N20" s="126">
        <v>1</v>
      </c>
      <c r="O20" s="208">
        <v>5799</v>
      </c>
      <c r="P20" s="208">
        <f t="shared" si="8"/>
        <v>5799</v>
      </c>
      <c r="Q20" s="208">
        <f t="shared" si="10"/>
        <v>7074.78</v>
      </c>
      <c r="R20" s="127" t="s">
        <v>153</v>
      </c>
      <c r="S20" s="209">
        <f t="shared" si="6"/>
        <v>0</v>
      </c>
      <c r="T20" s="106">
        <f t="shared" si="7"/>
        <v>1.7241379310350968E-4</v>
      </c>
      <c r="U20" s="207">
        <v>42285</v>
      </c>
      <c r="V20" s="123">
        <v>42297</v>
      </c>
      <c r="W20" s="207">
        <v>42310</v>
      </c>
      <c r="X20" s="207">
        <v>42313</v>
      </c>
      <c r="Y20" s="126" t="s">
        <v>182</v>
      </c>
      <c r="Z20" s="208"/>
      <c r="AA20" s="208" t="s">
        <v>183</v>
      </c>
      <c r="AB20" s="126" t="s">
        <v>480</v>
      </c>
      <c r="AC20" s="207">
        <v>42333</v>
      </c>
      <c r="AD20" s="207">
        <v>42418</v>
      </c>
      <c r="AE20" s="206" t="s">
        <v>359</v>
      </c>
      <c r="AF20" s="206" t="s">
        <v>1274</v>
      </c>
      <c r="AG20" s="206" t="s">
        <v>427</v>
      </c>
      <c r="AH20" s="215" t="s">
        <v>8</v>
      </c>
      <c r="AI20" s="129" t="s">
        <v>1541</v>
      </c>
    </row>
    <row r="21" spans="1:35" ht="24" x14ac:dyDescent="0.25">
      <c r="A21" s="105">
        <v>20</v>
      </c>
      <c r="B21" s="206" t="s">
        <v>8</v>
      </c>
      <c r="C21" s="121" t="s">
        <v>292</v>
      </c>
      <c r="D21" s="121" t="s">
        <v>291</v>
      </c>
      <c r="E21" s="121" t="s">
        <v>94</v>
      </c>
      <c r="F21" s="125">
        <v>3</v>
      </c>
      <c r="G21" s="208">
        <v>6947.5929999999998</v>
      </c>
      <c r="H21" s="208">
        <f t="shared" si="0"/>
        <v>20842.778999999999</v>
      </c>
      <c r="I21" s="208">
        <f t="shared" si="1"/>
        <v>25428.190379999996</v>
      </c>
      <c r="J21" s="125">
        <v>3</v>
      </c>
      <c r="K21" s="208">
        <f>12983*(1-0.46487)</f>
        <v>6947.5927899999997</v>
      </c>
      <c r="L21" s="209">
        <f>J21*K21</f>
        <v>20842.77837</v>
      </c>
      <c r="M21" s="209">
        <f>L21*1.22</f>
        <v>25428.189611400001</v>
      </c>
      <c r="N21" s="125">
        <v>3</v>
      </c>
      <c r="O21" s="209">
        <v>6947.59</v>
      </c>
      <c r="P21" s="209">
        <f t="shared" si="8"/>
        <v>20842.77</v>
      </c>
      <c r="Q21" s="208">
        <f t="shared" si="10"/>
        <v>25428.179400000001</v>
      </c>
      <c r="R21" s="122" t="s">
        <v>153</v>
      </c>
      <c r="S21" s="209">
        <f t="shared" si="6"/>
        <v>1.097999999547028E-2</v>
      </c>
      <c r="T21" s="106">
        <f t="shared" si="7"/>
        <v>4.0157793990136526E-7</v>
      </c>
      <c r="U21" s="123">
        <v>42313</v>
      </c>
      <c r="V21" s="123">
        <v>42321</v>
      </c>
      <c r="W21" s="123">
        <v>42324</v>
      </c>
      <c r="X21" s="123">
        <v>42335</v>
      </c>
      <c r="Y21" s="209" t="s">
        <v>452</v>
      </c>
      <c r="Z21" s="209"/>
      <c r="AA21" s="209" t="s">
        <v>286</v>
      </c>
      <c r="AB21" s="206" t="s">
        <v>383</v>
      </c>
      <c r="AC21" s="207">
        <v>42368</v>
      </c>
      <c r="AD21" s="207">
        <v>42388</v>
      </c>
      <c r="AE21" s="105" t="s">
        <v>346</v>
      </c>
      <c r="AF21" s="206" t="s">
        <v>1274</v>
      </c>
      <c r="AG21" s="105" t="s">
        <v>428</v>
      </c>
      <c r="AH21" s="215" t="s">
        <v>8</v>
      </c>
      <c r="AI21" s="129" t="s">
        <v>1541</v>
      </c>
    </row>
    <row r="22" spans="1:35" ht="24" x14ac:dyDescent="0.25">
      <c r="A22" s="105">
        <v>21</v>
      </c>
      <c r="B22" s="206" t="s">
        <v>8</v>
      </c>
      <c r="C22" s="121" t="s">
        <v>297</v>
      </c>
      <c r="D22" s="121" t="s">
        <v>104</v>
      </c>
      <c r="E22" s="121" t="s">
        <v>37</v>
      </c>
      <c r="F22" s="125">
        <v>2</v>
      </c>
      <c r="G22" s="208">
        <v>21437.5</v>
      </c>
      <c r="H22" s="208">
        <f t="shared" si="0"/>
        <v>42875</v>
      </c>
      <c r="I22" s="208">
        <f t="shared" si="1"/>
        <v>52307.5</v>
      </c>
      <c r="J22" s="125">
        <v>2</v>
      </c>
      <c r="K22" s="209">
        <v>21437.5</v>
      </c>
      <c r="L22" s="209">
        <f>J22*K22</f>
        <v>42875</v>
      </c>
      <c r="M22" s="209">
        <f>L22*1.22</f>
        <v>52307.5</v>
      </c>
      <c r="N22" s="125">
        <v>2</v>
      </c>
      <c r="O22" s="209">
        <v>21437.5</v>
      </c>
      <c r="P22" s="209">
        <f t="shared" si="8"/>
        <v>42875</v>
      </c>
      <c r="Q22" s="208">
        <f t="shared" si="10"/>
        <v>52307.5</v>
      </c>
      <c r="R22" s="122" t="s">
        <v>153</v>
      </c>
      <c r="S22" s="209">
        <f t="shared" si="6"/>
        <v>0</v>
      </c>
      <c r="T22" s="106">
        <f t="shared" si="7"/>
        <v>0</v>
      </c>
      <c r="U22" s="123">
        <v>42307</v>
      </c>
      <c r="V22" s="123">
        <v>42324</v>
      </c>
      <c r="W22" s="123">
        <v>42332</v>
      </c>
      <c r="X22" s="123">
        <v>42335</v>
      </c>
      <c r="Y22" s="209" t="s">
        <v>453</v>
      </c>
      <c r="Z22" s="209"/>
      <c r="AA22" s="209" t="s">
        <v>184</v>
      </c>
      <c r="AB22" s="206" t="s">
        <v>384</v>
      </c>
      <c r="AC22" s="207">
        <v>42348</v>
      </c>
      <c r="AD22" s="207">
        <v>42388</v>
      </c>
      <c r="AE22" s="105" t="s">
        <v>413</v>
      </c>
      <c r="AF22" s="206" t="s">
        <v>1274</v>
      </c>
      <c r="AG22" s="105" t="s">
        <v>429</v>
      </c>
      <c r="AH22" s="215" t="s">
        <v>8</v>
      </c>
      <c r="AI22" s="129" t="s">
        <v>1541</v>
      </c>
    </row>
    <row r="23" spans="1:35" s="30" customFormat="1" ht="24" x14ac:dyDescent="0.25">
      <c r="A23" s="105">
        <v>22</v>
      </c>
      <c r="B23" s="206" t="s">
        <v>8</v>
      </c>
      <c r="C23" s="121" t="s">
        <v>9</v>
      </c>
      <c r="D23" s="121" t="s">
        <v>291</v>
      </c>
      <c r="E23" s="121" t="s">
        <v>96</v>
      </c>
      <c r="F23" s="126">
        <v>1</v>
      </c>
      <c r="G23" s="208">
        <v>18702.599999999999</v>
      </c>
      <c r="H23" s="208">
        <f t="shared" si="0"/>
        <v>18702.599999999999</v>
      </c>
      <c r="I23" s="208">
        <f t="shared" si="1"/>
        <v>22817.171999999999</v>
      </c>
      <c r="J23" s="126">
        <v>1</v>
      </c>
      <c r="K23" s="208">
        <v>18702</v>
      </c>
      <c r="L23" s="208">
        <f t="shared" si="3"/>
        <v>18702</v>
      </c>
      <c r="M23" s="208">
        <f t="shared" si="4"/>
        <v>22816.44</v>
      </c>
      <c r="N23" s="126">
        <v>1</v>
      </c>
      <c r="O23" s="208">
        <v>18701.900000000001</v>
      </c>
      <c r="P23" s="208">
        <f t="shared" si="8"/>
        <v>18701.900000000001</v>
      </c>
      <c r="Q23" s="208">
        <f t="shared" si="10"/>
        <v>22816.318000000003</v>
      </c>
      <c r="R23" s="127" t="s">
        <v>153</v>
      </c>
      <c r="S23" s="209">
        <f t="shared" si="6"/>
        <v>0.85399999999572174</v>
      </c>
      <c r="T23" s="106">
        <f t="shared" si="7"/>
        <v>5.3470217087348004E-6</v>
      </c>
      <c r="U23" s="207">
        <v>42333</v>
      </c>
      <c r="V23" s="123">
        <v>42347</v>
      </c>
      <c r="W23" s="207">
        <v>42352</v>
      </c>
      <c r="X23" s="207">
        <v>42369</v>
      </c>
      <c r="Y23" s="126" t="s">
        <v>281</v>
      </c>
      <c r="Z23" s="208"/>
      <c r="AA23" s="208" t="s">
        <v>282</v>
      </c>
      <c r="AB23" s="206" t="s">
        <v>386</v>
      </c>
      <c r="AC23" s="207">
        <v>42430</v>
      </c>
      <c r="AD23" s="207">
        <v>42437</v>
      </c>
      <c r="AE23" s="206" t="s">
        <v>343</v>
      </c>
      <c r="AF23" s="206" t="s">
        <v>1274</v>
      </c>
      <c r="AG23" s="206" t="s">
        <v>419</v>
      </c>
      <c r="AH23" s="215" t="s">
        <v>8</v>
      </c>
      <c r="AI23" s="129" t="s">
        <v>1541</v>
      </c>
    </row>
    <row r="24" spans="1:35" s="30" customFormat="1" ht="24" x14ac:dyDescent="0.25">
      <c r="A24" s="105">
        <v>23</v>
      </c>
      <c r="B24" s="206" t="s">
        <v>8</v>
      </c>
      <c r="C24" s="121" t="s">
        <v>9</v>
      </c>
      <c r="D24" s="121" t="s">
        <v>290</v>
      </c>
      <c r="E24" s="121" t="s">
        <v>97</v>
      </c>
      <c r="F24" s="125">
        <v>1</v>
      </c>
      <c r="G24" s="208">
        <v>12494</v>
      </c>
      <c r="H24" s="208">
        <f t="shared" si="0"/>
        <v>12494</v>
      </c>
      <c r="I24" s="208">
        <f t="shared" si="1"/>
        <v>15242.68</v>
      </c>
      <c r="J24" s="125">
        <v>1</v>
      </c>
      <c r="K24" s="208">
        <v>12495</v>
      </c>
      <c r="L24" s="209">
        <f t="shared" si="3"/>
        <v>12495</v>
      </c>
      <c r="M24" s="209">
        <f t="shared" si="4"/>
        <v>15243.9</v>
      </c>
      <c r="N24" s="125">
        <v>1</v>
      </c>
      <c r="O24" s="209">
        <v>12494</v>
      </c>
      <c r="P24" s="209">
        <f t="shared" ref="P24:P31" si="11">N24*O24</f>
        <v>12494</v>
      </c>
      <c r="Q24" s="208">
        <f t="shared" si="10"/>
        <v>15242.68</v>
      </c>
      <c r="R24" s="127" t="s">
        <v>185</v>
      </c>
      <c r="S24" s="209">
        <f t="shared" si="6"/>
        <v>0</v>
      </c>
      <c r="T24" s="106">
        <f t="shared" si="7"/>
        <v>8.0032012805042463E-5</v>
      </c>
      <c r="U24" s="207">
        <v>42450</v>
      </c>
      <c r="V24" s="123">
        <v>42467</v>
      </c>
      <c r="W24" s="207">
        <v>42471</v>
      </c>
      <c r="X24" s="207">
        <v>42471</v>
      </c>
      <c r="Y24" s="126" t="s">
        <v>460</v>
      </c>
      <c r="Z24" s="208"/>
      <c r="AA24" s="208" t="s">
        <v>347</v>
      </c>
      <c r="AB24" s="206" t="s">
        <v>348</v>
      </c>
      <c r="AC24" s="207">
        <v>42661</v>
      </c>
      <c r="AD24" s="207">
        <v>42633</v>
      </c>
      <c r="AE24" s="206" t="s">
        <v>587</v>
      </c>
      <c r="AF24" s="206" t="s">
        <v>1274</v>
      </c>
      <c r="AG24" s="206" t="s">
        <v>616</v>
      </c>
      <c r="AH24" s="215" t="s">
        <v>8</v>
      </c>
      <c r="AI24" s="129" t="s">
        <v>1541</v>
      </c>
    </row>
    <row r="25" spans="1:35" s="30" customFormat="1" ht="24" x14ac:dyDescent="0.25">
      <c r="A25" s="105">
        <v>24</v>
      </c>
      <c r="B25" s="206" t="s">
        <v>8</v>
      </c>
      <c r="C25" s="121" t="s">
        <v>9</v>
      </c>
      <c r="D25" s="121" t="s">
        <v>291</v>
      </c>
      <c r="E25" s="121" t="s">
        <v>298</v>
      </c>
      <c r="F25" s="125">
        <v>1</v>
      </c>
      <c r="G25" s="208">
        <v>7500</v>
      </c>
      <c r="H25" s="208">
        <f t="shared" si="0"/>
        <v>7500</v>
      </c>
      <c r="I25" s="208">
        <f t="shared" si="1"/>
        <v>9150</v>
      </c>
      <c r="J25" s="125">
        <v>1</v>
      </c>
      <c r="K25" s="208">
        <v>7682.4</v>
      </c>
      <c r="L25" s="209">
        <f>J25*K25</f>
        <v>7682.4</v>
      </c>
      <c r="M25" s="209">
        <f>L25*1.22</f>
        <v>9372.5280000000002</v>
      </c>
      <c r="N25" s="125">
        <v>1</v>
      </c>
      <c r="O25" s="209">
        <v>7500</v>
      </c>
      <c r="P25" s="209">
        <f t="shared" si="11"/>
        <v>7500</v>
      </c>
      <c r="Q25" s="208">
        <f>P25*1.22</f>
        <v>9150</v>
      </c>
      <c r="R25" s="127" t="s">
        <v>185</v>
      </c>
      <c r="S25" s="209">
        <f t="shared" si="6"/>
        <v>0</v>
      </c>
      <c r="T25" s="106">
        <f t="shared" si="7"/>
        <v>2.3742580443611438E-2</v>
      </c>
      <c r="U25" s="207">
        <v>42451</v>
      </c>
      <c r="V25" s="123">
        <v>42467</v>
      </c>
      <c r="W25" s="207">
        <v>42471</v>
      </c>
      <c r="X25" s="207">
        <v>42471</v>
      </c>
      <c r="Y25" s="126" t="s">
        <v>461</v>
      </c>
      <c r="Z25" s="208"/>
      <c r="AA25" s="208" t="s">
        <v>344</v>
      </c>
      <c r="AB25" s="126" t="s">
        <v>468</v>
      </c>
      <c r="AC25" s="207" t="s">
        <v>805</v>
      </c>
      <c r="AD25" s="207">
        <v>42528</v>
      </c>
      <c r="AE25" s="206" t="s">
        <v>579</v>
      </c>
      <c r="AF25" s="206" t="s">
        <v>1274</v>
      </c>
      <c r="AG25" s="206" t="s">
        <v>580</v>
      </c>
      <c r="AH25" s="215" t="s">
        <v>8</v>
      </c>
      <c r="AI25" s="129" t="s">
        <v>1541</v>
      </c>
    </row>
    <row r="26" spans="1:35" s="30" customFormat="1" ht="36" x14ac:dyDescent="0.25">
      <c r="A26" s="105">
        <v>25</v>
      </c>
      <c r="B26" s="206" t="s">
        <v>8</v>
      </c>
      <c r="C26" s="121" t="s">
        <v>295</v>
      </c>
      <c r="D26" s="121" t="s">
        <v>290</v>
      </c>
      <c r="E26" s="121" t="s">
        <v>299</v>
      </c>
      <c r="F26" s="125">
        <v>2</v>
      </c>
      <c r="G26" s="208">
        <v>250</v>
      </c>
      <c r="H26" s="208">
        <f t="shared" si="0"/>
        <v>500</v>
      </c>
      <c r="I26" s="208">
        <f t="shared" si="1"/>
        <v>610</v>
      </c>
      <c r="J26" s="125">
        <v>2</v>
      </c>
      <c r="K26" s="208">
        <v>250</v>
      </c>
      <c r="L26" s="209">
        <f>J26*K26</f>
        <v>500</v>
      </c>
      <c r="M26" s="209">
        <f>L26*1.22</f>
        <v>610</v>
      </c>
      <c r="N26" s="125">
        <v>2</v>
      </c>
      <c r="O26" s="209">
        <v>250</v>
      </c>
      <c r="P26" s="209">
        <f t="shared" si="11"/>
        <v>500</v>
      </c>
      <c r="Q26" s="208">
        <f>P26*1.22</f>
        <v>610</v>
      </c>
      <c r="R26" s="127" t="s">
        <v>185</v>
      </c>
      <c r="S26" s="209">
        <f t="shared" si="6"/>
        <v>0</v>
      </c>
      <c r="T26" s="106">
        <f t="shared" si="7"/>
        <v>0</v>
      </c>
      <c r="U26" s="207">
        <v>42453</v>
      </c>
      <c r="V26" s="123">
        <v>42466</v>
      </c>
      <c r="W26" s="207">
        <v>42472</v>
      </c>
      <c r="X26" s="207">
        <v>42492</v>
      </c>
      <c r="Y26" s="126" t="s">
        <v>394</v>
      </c>
      <c r="Z26" s="208"/>
      <c r="AA26" s="208" t="s">
        <v>362</v>
      </c>
      <c r="AB26" s="206" t="s">
        <v>459</v>
      </c>
      <c r="AC26" s="207">
        <v>42499</v>
      </c>
      <c r="AD26" s="207">
        <v>42499</v>
      </c>
      <c r="AE26" s="206" t="s">
        <v>581</v>
      </c>
      <c r="AF26" s="206" t="s">
        <v>1274</v>
      </c>
      <c r="AG26" s="206" t="s">
        <v>582</v>
      </c>
      <c r="AH26" s="215" t="s">
        <v>8</v>
      </c>
      <c r="AI26" s="129" t="s">
        <v>1541</v>
      </c>
    </row>
    <row r="27" spans="1:35" s="30" customFormat="1" ht="24" x14ac:dyDescent="0.25">
      <c r="A27" s="105">
        <v>26</v>
      </c>
      <c r="B27" s="206" t="s">
        <v>8</v>
      </c>
      <c r="C27" s="121" t="s">
        <v>9</v>
      </c>
      <c r="D27" s="121" t="s">
        <v>291</v>
      </c>
      <c r="E27" s="121" t="s">
        <v>289</v>
      </c>
      <c r="F27" s="125">
        <v>2</v>
      </c>
      <c r="G27" s="208">
        <v>1681.38</v>
      </c>
      <c r="H27" s="208">
        <f t="shared" si="0"/>
        <v>3362.76</v>
      </c>
      <c r="I27" s="208">
        <f t="shared" si="1"/>
        <v>4102.5672000000004</v>
      </c>
      <c r="J27" s="125">
        <v>2</v>
      </c>
      <c r="K27" s="208">
        <v>1849.41</v>
      </c>
      <c r="L27" s="209">
        <f t="shared" si="3"/>
        <v>3698.82</v>
      </c>
      <c r="M27" s="209">
        <f t="shared" si="4"/>
        <v>4512.5604000000003</v>
      </c>
      <c r="N27" s="125">
        <v>2</v>
      </c>
      <c r="O27" s="209">
        <v>1681.38</v>
      </c>
      <c r="P27" s="209">
        <f t="shared" si="11"/>
        <v>3362.76</v>
      </c>
      <c r="Q27" s="208">
        <f t="shared" si="10"/>
        <v>4102.5672000000004</v>
      </c>
      <c r="R27" s="127" t="s">
        <v>185</v>
      </c>
      <c r="S27" s="209">
        <f t="shared" si="6"/>
        <v>0</v>
      </c>
      <c r="T27" s="106">
        <f t="shared" si="7"/>
        <v>9.0856002725193452E-2</v>
      </c>
      <c r="U27" s="207">
        <v>42450</v>
      </c>
      <c r="V27" s="123">
        <v>42467</v>
      </c>
      <c r="W27" s="207">
        <v>42471</v>
      </c>
      <c r="X27" s="207">
        <v>42471</v>
      </c>
      <c r="Y27" s="126" t="s">
        <v>462</v>
      </c>
      <c r="Z27" s="208"/>
      <c r="AA27" s="208" t="s">
        <v>345</v>
      </c>
      <c r="AB27" s="126" t="s">
        <v>463</v>
      </c>
      <c r="AC27" s="207">
        <v>42612</v>
      </c>
      <c r="AD27" s="207">
        <v>42622</v>
      </c>
      <c r="AE27" s="206" t="s">
        <v>583</v>
      </c>
      <c r="AF27" s="206" t="s">
        <v>1274</v>
      </c>
      <c r="AG27" s="206" t="s">
        <v>584</v>
      </c>
      <c r="AH27" s="215" t="s">
        <v>8</v>
      </c>
      <c r="AI27" s="129" t="s">
        <v>1541</v>
      </c>
    </row>
    <row r="28" spans="1:35" ht="36" x14ac:dyDescent="0.25">
      <c r="A28" s="105">
        <v>27</v>
      </c>
      <c r="B28" s="86" t="s">
        <v>8</v>
      </c>
      <c r="C28" s="107" t="s">
        <v>9</v>
      </c>
      <c r="D28" s="107" t="s">
        <v>16</v>
      </c>
      <c r="E28" s="107" t="s">
        <v>17</v>
      </c>
      <c r="F28" s="86">
        <v>1</v>
      </c>
      <c r="G28" s="94">
        <v>7901.42</v>
      </c>
      <c r="H28" s="208">
        <f t="shared" si="0"/>
        <v>7901.42</v>
      </c>
      <c r="I28" s="208">
        <f t="shared" si="1"/>
        <v>9639.7324000000008</v>
      </c>
      <c r="J28" s="86">
        <v>1</v>
      </c>
      <c r="K28" s="94">
        <v>7901.42</v>
      </c>
      <c r="L28" s="88">
        <f>J28*K28</f>
        <v>7901.42</v>
      </c>
      <c r="M28" s="88">
        <f>L28*1.22</f>
        <v>9639.7324000000008</v>
      </c>
      <c r="N28" s="86">
        <v>1</v>
      </c>
      <c r="O28" s="94">
        <v>7901.42</v>
      </c>
      <c r="P28" s="88">
        <f t="shared" si="11"/>
        <v>7901.42</v>
      </c>
      <c r="Q28" s="88">
        <f t="shared" ref="Q28:Q35" si="12">P28*1.22</f>
        <v>9639.7324000000008</v>
      </c>
      <c r="R28" s="85">
        <v>2014</v>
      </c>
      <c r="S28" s="209">
        <f t="shared" si="6"/>
        <v>0</v>
      </c>
      <c r="T28" s="106">
        <f t="shared" si="7"/>
        <v>0</v>
      </c>
      <c r="U28" s="108">
        <v>41551</v>
      </c>
      <c r="V28" s="108">
        <v>41557</v>
      </c>
      <c r="W28" s="108">
        <v>41642</v>
      </c>
      <c r="X28" s="108">
        <v>41642</v>
      </c>
      <c r="Y28" s="85"/>
      <c r="Z28" s="108">
        <v>41661</v>
      </c>
      <c r="AA28" s="85" t="s">
        <v>324</v>
      </c>
      <c r="AB28" s="86" t="s">
        <v>325</v>
      </c>
      <c r="AC28" s="110">
        <v>41808</v>
      </c>
      <c r="AD28" s="110">
        <v>41809</v>
      </c>
      <c r="AE28" s="109" t="s">
        <v>326</v>
      </c>
      <c r="AF28" s="206" t="s">
        <v>1274</v>
      </c>
      <c r="AG28" s="109" t="s">
        <v>430</v>
      </c>
      <c r="AH28" s="215" t="s">
        <v>8</v>
      </c>
      <c r="AI28" s="129" t="s">
        <v>1541</v>
      </c>
    </row>
    <row r="29" spans="1:35" ht="24" x14ac:dyDescent="0.25">
      <c r="A29" s="105">
        <v>28</v>
      </c>
      <c r="B29" s="86" t="s">
        <v>8</v>
      </c>
      <c r="C29" s="107" t="s">
        <v>9</v>
      </c>
      <c r="D29" s="107" t="s">
        <v>18</v>
      </c>
      <c r="E29" s="87" t="s">
        <v>19</v>
      </c>
      <c r="F29" s="86">
        <v>1</v>
      </c>
      <c r="G29" s="94">
        <v>78224.399999999994</v>
      </c>
      <c r="H29" s="208">
        <f t="shared" si="0"/>
        <v>78224.399999999994</v>
      </c>
      <c r="I29" s="208">
        <f t="shared" si="1"/>
        <v>95433.767999999996</v>
      </c>
      <c r="J29" s="86">
        <v>1</v>
      </c>
      <c r="K29" s="94">
        <v>78224.399999999994</v>
      </c>
      <c r="L29" s="88">
        <f>J29*K29</f>
        <v>78224.399999999994</v>
      </c>
      <c r="M29" s="88">
        <f>L29*1.22</f>
        <v>95433.767999999996</v>
      </c>
      <c r="N29" s="86">
        <v>1</v>
      </c>
      <c r="O29" s="94">
        <v>78224.399999999994</v>
      </c>
      <c r="P29" s="88">
        <f t="shared" si="11"/>
        <v>78224.399999999994</v>
      </c>
      <c r="Q29" s="88">
        <f>P29*1.22</f>
        <v>95433.767999999996</v>
      </c>
      <c r="R29" s="85">
        <v>2014</v>
      </c>
      <c r="S29" s="209">
        <f t="shared" si="6"/>
        <v>0</v>
      </c>
      <c r="T29" s="106">
        <f t="shared" si="7"/>
        <v>0</v>
      </c>
      <c r="U29" s="108">
        <v>41919</v>
      </c>
      <c r="V29" s="108">
        <v>41936</v>
      </c>
      <c r="W29" s="108">
        <v>41940</v>
      </c>
      <c r="X29" s="108">
        <v>41950</v>
      </c>
      <c r="Y29" s="91" t="s">
        <v>571</v>
      </c>
      <c r="Z29" s="85"/>
      <c r="AA29" s="85" t="s">
        <v>404</v>
      </c>
      <c r="AB29" s="86" t="s">
        <v>405</v>
      </c>
      <c r="AC29" s="110">
        <v>42003</v>
      </c>
      <c r="AD29" s="110">
        <v>42024</v>
      </c>
      <c r="AE29" s="109" t="s">
        <v>406</v>
      </c>
      <c r="AF29" s="206" t="s">
        <v>1274</v>
      </c>
      <c r="AG29" s="109" t="s">
        <v>431</v>
      </c>
      <c r="AH29" s="215" t="s">
        <v>8</v>
      </c>
      <c r="AI29" s="129" t="s">
        <v>1541</v>
      </c>
    </row>
    <row r="30" spans="1:35" ht="24" x14ac:dyDescent="0.25">
      <c r="A30" s="105">
        <v>29</v>
      </c>
      <c r="B30" s="86" t="s">
        <v>8</v>
      </c>
      <c r="C30" s="107" t="s">
        <v>9</v>
      </c>
      <c r="D30" s="107" t="s">
        <v>20</v>
      </c>
      <c r="E30" s="87" t="s">
        <v>15</v>
      </c>
      <c r="F30" s="86">
        <v>2</v>
      </c>
      <c r="G30" s="94">
        <v>13996</v>
      </c>
      <c r="H30" s="208">
        <f t="shared" si="0"/>
        <v>27992</v>
      </c>
      <c r="I30" s="208">
        <f t="shared" si="1"/>
        <v>34150.239999999998</v>
      </c>
      <c r="J30" s="86">
        <v>2</v>
      </c>
      <c r="K30" s="94">
        <v>14000</v>
      </c>
      <c r="L30" s="88">
        <f>J30*K30</f>
        <v>28000</v>
      </c>
      <c r="M30" s="88">
        <f>L30*1.22</f>
        <v>34160</v>
      </c>
      <c r="N30" s="86">
        <v>2</v>
      </c>
      <c r="O30" s="94">
        <v>13996</v>
      </c>
      <c r="P30" s="88">
        <f t="shared" si="11"/>
        <v>27992</v>
      </c>
      <c r="Q30" s="88">
        <f t="shared" si="12"/>
        <v>34150.239999999998</v>
      </c>
      <c r="R30" s="85">
        <v>2014</v>
      </c>
      <c r="S30" s="209">
        <f t="shared" si="6"/>
        <v>0</v>
      </c>
      <c r="T30" s="106">
        <f t="shared" si="7"/>
        <v>2.8571428571433355E-4</v>
      </c>
      <c r="U30" s="108">
        <v>41726</v>
      </c>
      <c r="V30" s="108">
        <v>41741</v>
      </c>
      <c r="W30" s="108">
        <v>41746</v>
      </c>
      <c r="X30" s="108">
        <v>41767</v>
      </c>
      <c r="Y30" s="85" t="s">
        <v>333</v>
      </c>
      <c r="Z30" s="85"/>
      <c r="AA30" s="85" t="s">
        <v>331</v>
      </c>
      <c r="AB30" s="86" t="s">
        <v>332</v>
      </c>
      <c r="AC30" s="110">
        <v>41834</v>
      </c>
      <c r="AD30" s="110"/>
      <c r="AE30" s="109" t="s">
        <v>457</v>
      </c>
      <c r="AF30" s="206" t="s">
        <v>1274</v>
      </c>
      <c r="AG30" s="105" t="s">
        <v>458</v>
      </c>
      <c r="AH30" s="215" t="s">
        <v>8</v>
      </c>
      <c r="AI30" s="129" t="s">
        <v>1541</v>
      </c>
    </row>
    <row r="31" spans="1:35" ht="24" x14ac:dyDescent="0.25">
      <c r="A31" s="105">
        <v>30</v>
      </c>
      <c r="B31" s="86" t="s">
        <v>8</v>
      </c>
      <c r="C31" s="107" t="s">
        <v>9</v>
      </c>
      <c r="D31" s="107" t="s">
        <v>20</v>
      </c>
      <c r="E31" s="107" t="s">
        <v>19</v>
      </c>
      <c r="F31" s="86">
        <v>1</v>
      </c>
      <c r="G31" s="94">
        <v>78224.399999999994</v>
      </c>
      <c r="H31" s="208">
        <f t="shared" si="0"/>
        <v>78224.399999999994</v>
      </c>
      <c r="I31" s="208">
        <f t="shared" si="1"/>
        <v>95433.767999999996</v>
      </c>
      <c r="J31" s="86">
        <v>1</v>
      </c>
      <c r="K31" s="94">
        <v>95000</v>
      </c>
      <c r="L31" s="88">
        <f>J31*K31</f>
        <v>95000</v>
      </c>
      <c r="M31" s="88">
        <f>L31*1.22</f>
        <v>115900</v>
      </c>
      <c r="N31" s="86">
        <v>1</v>
      </c>
      <c r="O31" s="94">
        <v>78224.399999999994</v>
      </c>
      <c r="P31" s="88">
        <f t="shared" si="11"/>
        <v>78224.399999999994</v>
      </c>
      <c r="Q31" s="88">
        <f t="shared" si="12"/>
        <v>95433.767999999996</v>
      </c>
      <c r="R31" s="85">
        <v>2014</v>
      </c>
      <c r="S31" s="209">
        <f t="shared" si="6"/>
        <v>0</v>
      </c>
      <c r="T31" s="106">
        <f t="shared" si="7"/>
        <v>0.1765852631578948</v>
      </c>
      <c r="U31" s="108">
        <v>41590</v>
      </c>
      <c r="V31" s="108">
        <v>41604</v>
      </c>
      <c r="W31" s="108">
        <v>41857</v>
      </c>
      <c r="X31" s="108">
        <v>41892</v>
      </c>
      <c r="Y31" s="85" t="s">
        <v>329</v>
      </c>
      <c r="Z31" s="85"/>
      <c r="AA31" s="85" t="s">
        <v>328</v>
      </c>
      <c r="AB31" s="86" t="s">
        <v>327</v>
      </c>
      <c r="AC31" s="207">
        <v>41925</v>
      </c>
      <c r="AD31" s="207">
        <v>41956</v>
      </c>
      <c r="AE31" s="206" t="s">
        <v>330</v>
      </c>
      <c r="AF31" s="206" t="s">
        <v>1274</v>
      </c>
      <c r="AG31" s="109" t="s">
        <v>432</v>
      </c>
      <c r="AH31" s="215" t="s">
        <v>8</v>
      </c>
      <c r="AI31" s="129" t="s">
        <v>1541</v>
      </c>
    </row>
    <row r="32" spans="1:35" s="44" customFormat="1" ht="36" x14ac:dyDescent="0.25">
      <c r="A32" s="105">
        <v>31</v>
      </c>
      <c r="B32" s="86" t="s">
        <v>8</v>
      </c>
      <c r="C32" s="87" t="s">
        <v>9</v>
      </c>
      <c r="D32" s="107" t="s">
        <v>303</v>
      </c>
      <c r="E32" s="87" t="s">
        <v>24</v>
      </c>
      <c r="F32" s="86">
        <v>2</v>
      </c>
      <c r="G32" s="88">
        <v>4500</v>
      </c>
      <c r="H32" s="208">
        <f t="shared" si="0"/>
        <v>9000</v>
      </c>
      <c r="I32" s="208">
        <f t="shared" si="1"/>
        <v>10980</v>
      </c>
      <c r="J32" s="86">
        <v>2</v>
      </c>
      <c r="K32" s="88">
        <v>6500</v>
      </c>
      <c r="L32" s="88">
        <f>J32*K32</f>
        <v>13000</v>
      </c>
      <c r="M32" s="88">
        <f>L32*1.22</f>
        <v>15860</v>
      </c>
      <c r="N32" s="86">
        <v>2</v>
      </c>
      <c r="O32" s="88">
        <v>4500</v>
      </c>
      <c r="P32" s="88">
        <f>N32*O32</f>
        <v>9000</v>
      </c>
      <c r="Q32" s="88">
        <f t="shared" si="12"/>
        <v>10980</v>
      </c>
      <c r="R32" s="85">
        <v>2015</v>
      </c>
      <c r="S32" s="209">
        <f t="shared" si="6"/>
        <v>0</v>
      </c>
      <c r="T32" s="106">
        <f t="shared" si="7"/>
        <v>0.30769230769230771</v>
      </c>
      <c r="U32" s="108">
        <v>42023</v>
      </c>
      <c r="V32" s="108">
        <v>42045</v>
      </c>
      <c r="W32" s="108">
        <v>42104</v>
      </c>
      <c r="X32" s="108">
        <v>42114</v>
      </c>
      <c r="Y32" s="209" t="s">
        <v>388</v>
      </c>
      <c r="Z32" s="85"/>
      <c r="AA32" s="85" t="s">
        <v>272</v>
      </c>
      <c r="AB32" s="86" t="s">
        <v>469</v>
      </c>
      <c r="AC32" s="110">
        <v>42121</v>
      </c>
      <c r="AD32" s="110">
        <v>42145</v>
      </c>
      <c r="AE32" s="129" t="s">
        <v>687</v>
      </c>
      <c r="AF32" s="206" t="s">
        <v>1274</v>
      </c>
      <c r="AG32" s="109" t="s">
        <v>439</v>
      </c>
      <c r="AH32" s="215" t="s">
        <v>8</v>
      </c>
      <c r="AI32" s="129" t="s">
        <v>1541</v>
      </c>
    </row>
    <row r="33" spans="1:35" s="44" customFormat="1" ht="24" x14ac:dyDescent="0.25">
      <c r="A33" s="105">
        <v>32</v>
      </c>
      <c r="B33" s="86" t="s">
        <v>8</v>
      </c>
      <c r="C33" s="87" t="s">
        <v>9</v>
      </c>
      <c r="D33" s="87" t="s">
        <v>25</v>
      </c>
      <c r="E33" s="87" t="s">
        <v>15</v>
      </c>
      <c r="F33" s="86">
        <v>2</v>
      </c>
      <c r="G33" s="88">
        <v>3679</v>
      </c>
      <c r="H33" s="208">
        <f t="shared" si="0"/>
        <v>7358</v>
      </c>
      <c r="I33" s="208">
        <f t="shared" si="1"/>
        <v>8976.76</v>
      </c>
      <c r="J33" s="86">
        <v>2</v>
      </c>
      <c r="K33" s="88">
        <v>3679</v>
      </c>
      <c r="L33" s="88">
        <f t="shared" ref="L33:L46" si="13">J33*K33</f>
        <v>7358</v>
      </c>
      <c r="M33" s="88">
        <f t="shared" ref="M33:M47" si="14">L33*1.22</f>
        <v>8976.76</v>
      </c>
      <c r="N33" s="86">
        <v>2</v>
      </c>
      <c r="O33" s="88">
        <v>3679</v>
      </c>
      <c r="P33" s="88">
        <f>N33*O33</f>
        <v>7358</v>
      </c>
      <c r="Q33" s="88">
        <f t="shared" si="12"/>
        <v>8976.76</v>
      </c>
      <c r="R33" s="85">
        <v>2015</v>
      </c>
      <c r="S33" s="209">
        <f t="shared" si="6"/>
        <v>0</v>
      </c>
      <c r="T33" s="106">
        <f t="shared" si="7"/>
        <v>0</v>
      </c>
      <c r="U33" s="108">
        <v>42285</v>
      </c>
      <c r="V33" s="108">
        <v>42299</v>
      </c>
      <c r="W33" s="108">
        <v>42310</v>
      </c>
      <c r="X33" s="108">
        <v>42313</v>
      </c>
      <c r="Y33" s="85" t="s">
        <v>334</v>
      </c>
      <c r="Z33" s="85"/>
      <c r="AA33" s="85" t="s">
        <v>335</v>
      </c>
      <c r="AB33" s="86" t="s">
        <v>470</v>
      </c>
      <c r="AC33" s="110">
        <v>42324</v>
      </c>
      <c r="AD33" s="110">
        <v>42341</v>
      </c>
      <c r="AE33" s="109" t="s">
        <v>336</v>
      </c>
      <c r="AF33" s="206" t="s">
        <v>1274</v>
      </c>
      <c r="AG33" s="109" t="s">
        <v>433</v>
      </c>
      <c r="AH33" s="215" t="s">
        <v>8</v>
      </c>
      <c r="AI33" s="129" t="s">
        <v>1541</v>
      </c>
    </row>
    <row r="34" spans="1:35" s="42" customFormat="1" ht="84" x14ac:dyDescent="0.25">
      <c r="A34" s="105">
        <v>33</v>
      </c>
      <c r="B34" s="86" t="s">
        <v>8</v>
      </c>
      <c r="C34" s="107" t="s">
        <v>9</v>
      </c>
      <c r="D34" s="107" t="s">
        <v>34</v>
      </c>
      <c r="E34" s="107" t="s">
        <v>35</v>
      </c>
      <c r="F34" s="86">
        <v>1</v>
      </c>
      <c r="G34" s="94">
        <v>36726.69</v>
      </c>
      <c r="H34" s="208">
        <f t="shared" si="0"/>
        <v>36726.69</v>
      </c>
      <c r="I34" s="208">
        <f t="shared" si="1"/>
        <v>44806.561800000003</v>
      </c>
      <c r="J34" s="86">
        <v>1</v>
      </c>
      <c r="K34" s="94">
        <v>50382.43</v>
      </c>
      <c r="L34" s="88">
        <f t="shared" si="13"/>
        <v>50382.43</v>
      </c>
      <c r="M34" s="88">
        <f t="shared" si="14"/>
        <v>61466.564599999998</v>
      </c>
      <c r="N34" s="86">
        <v>1</v>
      </c>
      <c r="O34" s="94">
        <v>36726.69</v>
      </c>
      <c r="P34" s="88">
        <f>N34*O34</f>
        <v>36726.69</v>
      </c>
      <c r="Q34" s="88">
        <f t="shared" si="12"/>
        <v>44806.561800000003</v>
      </c>
      <c r="R34" s="85">
        <v>2014</v>
      </c>
      <c r="S34" s="209">
        <f t="shared" si="6"/>
        <v>0</v>
      </c>
      <c r="T34" s="106">
        <f t="shared" si="7"/>
        <v>0.27104171037403313</v>
      </c>
      <c r="U34" s="108">
        <v>41557</v>
      </c>
      <c r="V34" s="108">
        <v>41569</v>
      </c>
      <c r="W34" s="108">
        <v>41753</v>
      </c>
      <c r="X34" s="108">
        <v>41753</v>
      </c>
      <c r="Y34" s="85"/>
      <c r="Z34" s="108">
        <v>41764</v>
      </c>
      <c r="AA34" s="85" t="s">
        <v>339</v>
      </c>
      <c r="AB34" s="86" t="s">
        <v>340</v>
      </c>
      <c r="AC34" s="110" t="s">
        <v>341</v>
      </c>
      <c r="AD34" s="110">
        <v>42264</v>
      </c>
      <c r="AE34" s="109" t="s">
        <v>342</v>
      </c>
      <c r="AF34" s="206" t="s">
        <v>1274</v>
      </c>
      <c r="AG34" s="129" t="s">
        <v>434</v>
      </c>
      <c r="AH34" s="215" t="s">
        <v>8</v>
      </c>
      <c r="AI34" s="129" t="s">
        <v>1541</v>
      </c>
    </row>
    <row r="35" spans="1:35" s="42" customFormat="1" ht="24" x14ac:dyDescent="0.25">
      <c r="A35" s="105">
        <v>34</v>
      </c>
      <c r="B35" s="86" t="s">
        <v>8</v>
      </c>
      <c r="C35" s="87" t="s">
        <v>9</v>
      </c>
      <c r="D35" s="107" t="s">
        <v>34</v>
      </c>
      <c r="E35" s="87" t="s">
        <v>36</v>
      </c>
      <c r="F35" s="86">
        <v>1</v>
      </c>
      <c r="G35" s="88">
        <v>10314.700000000001</v>
      </c>
      <c r="H35" s="208">
        <f t="shared" si="0"/>
        <v>10314.700000000001</v>
      </c>
      <c r="I35" s="208">
        <f t="shared" si="1"/>
        <v>12583.934000000001</v>
      </c>
      <c r="J35" s="86">
        <v>1</v>
      </c>
      <c r="K35" s="88">
        <v>10913.7</v>
      </c>
      <c r="L35" s="88">
        <f t="shared" si="13"/>
        <v>10913.7</v>
      </c>
      <c r="M35" s="88">
        <f t="shared" si="14"/>
        <v>13314.714</v>
      </c>
      <c r="N35" s="86">
        <v>1</v>
      </c>
      <c r="O35" s="88">
        <v>10314.700000000001</v>
      </c>
      <c r="P35" s="88">
        <f>N35*O35</f>
        <v>10314.700000000001</v>
      </c>
      <c r="Q35" s="88">
        <f t="shared" si="12"/>
        <v>12583.934000000001</v>
      </c>
      <c r="R35" s="85">
        <v>2015</v>
      </c>
      <c r="S35" s="209">
        <f t="shared" si="6"/>
        <v>0</v>
      </c>
      <c r="T35" s="106">
        <f t="shared" si="7"/>
        <v>5.4885144359841265E-2</v>
      </c>
      <c r="U35" s="108">
        <v>42094</v>
      </c>
      <c r="V35" s="108">
        <v>42094</v>
      </c>
      <c r="W35" s="108">
        <v>42199</v>
      </c>
      <c r="X35" s="108">
        <v>42199</v>
      </c>
      <c r="Y35" s="85"/>
      <c r="Z35" s="108">
        <v>42208</v>
      </c>
      <c r="AA35" s="85">
        <v>6345261306</v>
      </c>
      <c r="AB35" s="86" t="s">
        <v>337</v>
      </c>
      <c r="AC35" s="110">
        <v>42249</v>
      </c>
      <c r="AD35" s="110">
        <v>42264</v>
      </c>
      <c r="AE35" s="109" t="s">
        <v>338</v>
      </c>
      <c r="AF35" s="206" t="s">
        <v>1274</v>
      </c>
      <c r="AG35" s="109" t="s">
        <v>455</v>
      </c>
      <c r="AH35" s="215" t="s">
        <v>8</v>
      </c>
      <c r="AI35" s="129" t="s">
        <v>1541</v>
      </c>
    </row>
    <row r="36" spans="1:35" s="42" customFormat="1" ht="24" x14ac:dyDescent="0.25">
      <c r="A36" s="105">
        <v>35</v>
      </c>
      <c r="B36" s="86" t="s">
        <v>8</v>
      </c>
      <c r="C36" s="87" t="s">
        <v>9</v>
      </c>
      <c r="D36" s="107" t="s">
        <v>44</v>
      </c>
      <c r="E36" s="87" t="s">
        <v>46</v>
      </c>
      <c r="F36" s="86">
        <v>1</v>
      </c>
      <c r="G36" s="88">
        <v>4185.4399999999996</v>
      </c>
      <c r="H36" s="208">
        <f t="shared" si="0"/>
        <v>4185.4399999999996</v>
      </c>
      <c r="I36" s="208">
        <f t="shared" si="1"/>
        <v>5106.2367999999997</v>
      </c>
      <c r="J36" s="86">
        <v>1</v>
      </c>
      <c r="K36" s="88">
        <v>4200</v>
      </c>
      <c r="L36" s="88">
        <f t="shared" si="13"/>
        <v>4200</v>
      </c>
      <c r="M36" s="88">
        <f t="shared" si="14"/>
        <v>5124</v>
      </c>
      <c r="N36" s="86">
        <v>1</v>
      </c>
      <c r="O36" s="88">
        <v>4185.4399999999996</v>
      </c>
      <c r="P36" s="88">
        <f t="shared" ref="P36:P45" si="15">N36*O36</f>
        <v>4185.4399999999996</v>
      </c>
      <c r="Q36" s="88">
        <f t="shared" ref="Q36:Q45" si="16">P36*1.22</f>
        <v>5106.2367999999997</v>
      </c>
      <c r="R36" s="85">
        <v>2015</v>
      </c>
      <c r="S36" s="209">
        <f t="shared" si="6"/>
        <v>0</v>
      </c>
      <c r="T36" s="106">
        <f t="shared" si="7"/>
        <v>3.466666666666729E-3</v>
      </c>
      <c r="U36" s="108">
        <v>42020</v>
      </c>
      <c r="V36" s="108">
        <v>42038</v>
      </c>
      <c r="W36" s="108">
        <v>42052</v>
      </c>
      <c r="X36" s="108">
        <v>42052</v>
      </c>
      <c r="Y36" s="85" t="s">
        <v>391</v>
      </c>
      <c r="Z36" s="85"/>
      <c r="AA36" s="85" t="s">
        <v>392</v>
      </c>
      <c r="AB36" s="86" t="s">
        <v>471</v>
      </c>
      <c r="AC36" s="110">
        <v>42061</v>
      </c>
      <c r="AD36" s="110">
        <v>42061</v>
      </c>
      <c r="AE36" s="109" t="s">
        <v>393</v>
      </c>
      <c r="AF36" s="206" t="s">
        <v>1274</v>
      </c>
      <c r="AG36" s="109" t="s">
        <v>435</v>
      </c>
      <c r="AH36" s="215" t="s">
        <v>8</v>
      </c>
      <c r="AI36" s="129" t="s">
        <v>1541</v>
      </c>
    </row>
    <row r="37" spans="1:35" s="42" customFormat="1" ht="24" x14ac:dyDescent="0.25">
      <c r="A37" s="105">
        <v>36</v>
      </c>
      <c r="B37" s="86" t="s">
        <v>8</v>
      </c>
      <c r="C37" s="87" t="s">
        <v>316</v>
      </c>
      <c r="D37" s="107" t="s">
        <v>48</v>
      </c>
      <c r="E37" s="87" t="s">
        <v>49</v>
      </c>
      <c r="F37" s="86">
        <v>1</v>
      </c>
      <c r="G37" s="88">
        <v>2100</v>
      </c>
      <c r="H37" s="208">
        <f t="shared" si="0"/>
        <v>2100</v>
      </c>
      <c r="I37" s="208">
        <f t="shared" si="1"/>
        <v>2562</v>
      </c>
      <c r="J37" s="86">
        <v>1</v>
      </c>
      <c r="K37" s="88">
        <v>2200</v>
      </c>
      <c r="L37" s="88">
        <f t="shared" si="13"/>
        <v>2200</v>
      </c>
      <c r="M37" s="88">
        <f t="shared" si="14"/>
        <v>2684</v>
      </c>
      <c r="N37" s="86">
        <v>1</v>
      </c>
      <c r="O37" s="88">
        <v>2100</v>
      </c>
      <c r="P37" s="88">
        <f t="shared" si="15"/>
        <v>2100</v>
      </c>
      <c r="Q37" s="88">
        <f t="shared" si="16"/>
        <v>2562</v>
      </c>
      <c r="R37" s="85">
        <v>2015</v>
      </c>
      <c r="S37" s="209">
        <f t="shared" si="6"/>
        <v>0</v>
      </c>
      <c r="T37" s="106">
        <f t="shared" si="7"/>
        <v>4.5454545454545414E-2</v>
      </c>
      <c r="U37" s="108">
        <v>42020</v>
      </c>
      <c r="V37" s="108">
        <v>42040</v>
      </c>
      <c r="W37" s="108">
        <v>42059</v>
      </c>
      <c r="X37" s="108">
        <v>42073</v>
      </c>
      <c r="Y37" s="209" t="s">
        <v>395</v>
      </c>
      <c r="Z37" s="85"/>
      <c r="AA37" s="85" t="s">
        <v>273</v>
      </c>
      <c r="AB37" s="86" t="s">
        <v>472</v>
      </c>
      <c r="AC37" s="110">
        <v>42144</v>
      </c>
      <c r="AD37" s="110" t="s">
        <v>806</v>
      </c>
      <c r="AE37" s="96" t="s">
        <v>274</v>
      </c>
      <c r="AF37" s="206" t="s">
        <v>1274</v>
      </c>
      <c r="AG37" s="109" t="s">
        <v>436</v>
      </c>
      <c r="AH37" s="215" t="s">
        <v>8</v>
      </c>
      <c r="AI37" s="129" t="s">
        <v>1541</v>
      </c>
    </row>
    <row r="38" spans="1:35" s="42" customFormat="1" ht="24" x14ac:dyDescent="0.25">
      <c r="A38" s="105">
        <v>37</v>
      </c>
      <c r="B38" s="86" t="s">
        <v>8</v>
      </c>
      <c r="C38" s="87" t="s">
        <v>316</v>
      </c>
      <c r="D38" s="107" t="s">
        <v>48</v>
      </c>
      <c r="E38" s="87" t="s">
        <v>50</v>
      </c>
      <c r="F38" s="86">
        <v>1</v>
      </c>
      <c r="G38" s="88">
        <v>4267.5</v>
      </c>
      <c r="H38" s="208">
        <f t="shared" si="0"/>
        <v>4267.5</v>
      </c>
      <c r="I38" s="208">
        <f t="shared" si="1"/>
        <v>5206.3499999999995</v>
      </c>
      <c r="J38" s="86">
        <v>1</v>
      </c>
      <c r="K38" s="88">
        <v>4400</v>
      </c>
      <c r="L38" s="88">
        <f t="shared" si="13"/>
        <v>4400</v>
      </c>
      <c r="M38" s="88">
        <f t="shared" si="14"/>
        <v>5368</v>
      </c>
      <c r="N38" s="86">
        <v>1</v>
      </c>
      <c r="O38" s="88">
        <v>4267.5</v>
      </c>
      <c r="P38" s="88">
        <f t="shared" si="15"/>
        <v>4267.5</v>
      </c>
      <c r="Q38" s="88">
        <f t="shared" si="16"/>
        <v>5206.3499999999995</v>
      </c>
      <c r="R38" s="85">
        <v>2015</v>
      </c>
      <c r="S38" s="209">
        <f t="shared" si="6"/>
        <v>0</v>
      </c>
      <c r="T38" s="106">
        <f t="shared" si="7"/>
        <v>3.0113636363636509E-2</v>
      </c>
      <c r="U38" s="108">
        <v>42052</v>
      </c>
      <c r="V38" s="108">
        <v>42069</v>
      </c>
      <c r="W38" s="108">
        <v>42095</v>
      </c>
      <c r="X38" s="108">
        <v>42097</v>
      </c>
      <c r="Y38" s="209" t="s">
        <v>412</v>
      </c>
      <c r="Z38" s="85"/>
      <c r="AA38" s="85" t="s">
        <v>275</v>
      </c>
      <c r="AB38" s="86" t="s">
        <v>473</v>
      </c>
      <c r="AC38" s="110">
        <v>42128</v>
      </c>
      <c r="AD38" s="110">
        <v>42128</v>
      </c>
      <c r="AE38" s="96" t="s">
        <v>276</v>
      </c>
      <c r="AF38" s="206" t="s">
        <v>1274</v>
      </c>
      <c r="AG38" s="109" t="s">
        <v>437</v>
      </c>
      <c r="AH38" s="215" t="s">
        <v>8</v>
      </c>
      <c r="AI38" s="129" t="s">
        <v>1541</v>
      </c>
    </row>
    <row r="39" spans="1:35" s="42" customFormat="1" ht="24" x14ac:dyDescent="0.25">
      <c r="A39" s="105">
        <v>38</v>
      </c>
      <c r="B39" s="86" t="s">
        <v>8</v>
      </c>
      <c r="C39" s="87" t="s">
        <v>316</v>
      </c>
      <c r="D39" s="107" t="s">
        <v>48</v>
      </c>
      <c r="E39" s="87" t="s">
        <v>51</v>
      </c>
      <c r="F39" s="86">
        <v>1</v>
      </c>
      <c r="G39" s="88">
        <f>19754+4068</f>
        <v>23822</v>
      </c>
      <c r="H39" s="208">
        <f t="shared" si="0"/>
        <v>23822</v>
      </c>
      <c r="I39" s="208">
        <f t="shared" si="1"/>
        <v>29062.84</v>
      </c>
      <c r="J39" s="86">
        <v>1</v>
      </c>
      <c r="K39" s="88">
        <v>39000</v>
      </c>
      <c r="L39" s="88">
        <f t="shared" si="13"/>
        <v>39000</v>
      </c>
      <c r="M39" s="88">
        <f t="shared" si="14"/>
        <v>47580</v>
      </c>
      <c r="N39" s="86">
        <v>1</v>
      </c>
      <c r="O39" s="88">
        <v>23642.5</v>
      </c>
      <c r="P39" s="88">
        <f t="shared" si="15"/>
        <v>23642.5</v>
      </c>
      <c r="Q39" s="88">
        <f t="shared" si="16"/>
        <v>28843.85</v>
      </c>
      <c r="R39" s="85">
        <v>2015</v>
      </c>
      <c r="S39" s="209">
        <f t="shared" si="6"/>
        <v>218.9900000000016</v>
      </c>
      <c r="T39" s="106">
        <f t="shared" si="7"/>
        <v>0.39378205128205135</v>
      </c>
      <c r="U39" s="108">
        <v>42061</v>
      </c>
      <c r="V39" s="108">
        <v>42069</v>
      </c>
      <c r="W39" s="108">
        <v>42130</v>
      </c>
      <c r="X39" s="108">
        <v>42156</v>
      </c>
      <c r="Y39" s="209" t="s">
        <v>485</v>
      </c>
      <c r="Z39" s="85"/>
      <c r="AA39" s="85" t="s">
        <v>277</v>
      </c>
      <c r="AB39" s="91" t="s">
        <v>387</v>
      </c>
      <c r="AC39" s="110">
        <v>42199</v>
      </c>
      <c r="AD39" s="110" t="s">
        <v>807</v>
      </c>
      <c r="AE39" s="96" t="s">
        <v>278</v>
      </c>
      <c r="AF39" s="206" t="s">
        <v>1274</v>
      </c>
      <c r="AG39" s="109" t="s">
        <v>438</v>
      </c>
      <c r="AH39" s="215" t="s">
        <v>8</v>
      </c>
      <c r="AI39" s="129" t="s">
        <v>1541</v>
      </c>
    </row>
    <row r="40" spans="1:35" s="42" customFormat="1" ht="36" x14ac:dyDescent="0.25">
      <c r="A40" s="105">
        <v>39</v>
      </c>
      <c r="B40" s="86" t="s">
        <v>8</v>
      </c>
      <c r="C40" s="87" t="s">
        <v>316</v>
      </c>
      <c r="D40" s="107" t="s">
        <v>48</v>
      </c>
      <c r="E40" s="87" t="s">
        <v>24</v>
      </c>
      <c r="F40" s="86">
        <v>2</v>
      </c>
      <c r="G40" s="88">
        <v>4275</v>
      </c>
      <c r="H40" s="208">
        <f t="shared" si="0"/>
        <v>8550</v>
      </c>
      <c r="I40" s="208">
        <f t="shared" si="1"/>
        <v>10431</v>
      </c>
      <c r="J40" s="86">
        <v>2</v>
      </c>
      <c r="K40" s="88">
        <v>4500</v>
      </c>
      <c r="L40" s="88">
        <f t="shared" si="13"/>
        <v>9000</v>
      </c>
      <c r="M40" s="88">
        <f t="shared" si="14"/>
        <v>10980</v>
      </c>
      <c r="N40" s="86">
        <v>2</v>
      </c>
      <c r="O40" s="88">
        <v>4275</v>
      </c>
      <c r="P40" s="88">
        <f t="shared" si="15"/>
        <v>8550</v>
      </c>
      <c r="Q40" s="88">
        <f t="shared" si="16"/>
        <v>10431</v>
      </c>
      <c r="R40" s="85">
        <v>2015</v>
      </c>
      <c r="S40" s="209">
        <f t="shared" si="6"/>
        <v>0</v>
      </c>
      <c r="T40" s="106">
        <f t="shared" si="7"/>
        <v>5.0000000000000044E-2</v>
      </c>
      <c r="U40" s="108">
        <v>42285</v>
      </c>
      <c r="V40" s="108">
        <v>42297</v>
      </c>
      <c r="W40" s="108">
        <v>42307</v>
      </c>
      <c r="X40" s="108">
        <v>42313</v>
      </c>
      <c r="Y40" s="209" t="s">
        <v>390</v>
      </c>
      <c r="Z40" s="85"/>
      <c r="AA40" s="85" t="s">
        <v>279</v>
      </c>
      <c r="AB40" s="86" t="s">
        <v>474</v>
      </c>
      <c r="AC40" s="110" t="s">
        <v>808</v>
      </c>
      <c r="AD40" s="110" t="s">
        <v>809</v>
      </c>
      <c r="AE40" s="109" t="s">
        <v>389</v>
      </c>
      <c r="AF40" s="206" t="s">
        <v>1274</v>
      </c>
      <c r="AG40" s="109" t="s">
        <v>439</v>
      </c>
      <c r="AH40" s="215" t="s">
        <v>8</v>
      </c>
      <c r="AI40" s="129" t="s">
        <v>1541</v>
      </c>
    </row>
    <row r="41" spans="1:35" s="8" customFormat="1" ht="24" x14ac:dyDescent="0.25">
      <c r="A41" s="105">
        <v>40</v>
      </c>
      <c r="B41" s="91" t="s">
        <v>8</v>
      </c>
      <c r="C41" s="87" t="s">
        <v>316</v>
      </c>
      <c r="D41" s="92" t="s">
        <v>48</v>
      </c>
      <c r="E41" s="92" t="s">
        <v>86</v>
      </c>
      <c r="F41" s="91">
        <v>1</v>
      </c>
      <c r="G41" s="93">
        <v>1900</v>
      </c>
      <c r="H41" s="208">
        <f t="shared" si="0"/>
        <v>1900</v>
      </c>
      <c r="I41" s="208">
        <f t="shared" si="1"/>
        <v>2318</v>
      </c>
      <c r="J41" s="91">
        <v>1</v>
      </c>
      <c r="K41" s="93">
        <v>2000</v>
      </c>
      <c r="L41" s="93">
        <f>J41*K41</f>
        <v>2000</v>
      </c>
      <c r="M41" s="93">
        <f>L41*1.22</f>
        <v>2440</v>
      </c>
      <c r="N41" s="91">
        <v>1</v>
      </c>
      <c r="O41" s="93">
        <v>1900</v>
      </c>
      <c r="P41" s="93">
        <f>N41*O41</f>
        <v>1900</v>
      </c>
      <c r="Q41" s="93">
        <f>P41*1.22</f>
        <v>2318</v>
      </c>
      <c r="R41" s="96">
        <v>2015</v>
      </c>
      <c r="S41" s="209">
        <f t="shared" si="6"/>
        <v>0</v>
      </c>
      <c r="T41" s="106">
        <f t="shared" si="7"/>
        <v>5.0000000000000044E-2</v>
      </c>
      <c r="U41" s="101">
        <v>41948</v>
      </c>
      <c r="V41" s="102">
        <v>41963</v>
      </c>
      <c r="W41" s="101">
        <v>42070</v>
      </c>
      <c r="X41" s="101">
        <v>42076</v>
      </c>
      <c r="Y41" s="96" t="s">
        <v>146</v>
      </c>
      <c r="Z41" s="96" t="s">
        <v>121</v>
      </c>
      <c r="AA41" s="96" t="s">
        <v>285</v>
      </c>
      <c r="AB41" s="91" t="s">
        <v>148</v>
      </c>
      <c r="AC41" s="101">
        <v>42124</v>
      </c>
      <c r="AD41" s="101">
        <v>42139</v>
      </c>
      <c r="AE41" s="96" t="s">
        <v>323</v>
      </c>
      <c r="AF41" s="206" t="s">
        <v>1274</v>
      </c>
      <c r="AG41" s="91" t="s">
        <v>448</v>
      </c>
      <c r="AH41" s="215" t="s">
        <v>8</v>
      </c>
      <c r="AI41" s="129" t="s">
        <v>1541</v>
      </c>
    </row>
    <row r="42" spans="1:35" s="42" customFormat="1" ht="24" x14ac:dyDescent="0.25">
      <c r="A42" s="105">
        <v>41</v>
      </c>
      <c r="B42" s="86" t="s">
        <v>8</v>
      </c>
      <c r="C42" s="87" t="s">
        <v>53</v>
      </c>
      <c r="D42" s="107" t="s">
        <v>39</v>
      </c>
      <c r="E42" s="87" t="s">
        <v>54</v>
      </c>
      <c r="F42" s="86">
        <v>1</v>
      </c>
      <c r="G42" s="88">
        <v>33098.5</v>
      </c>
      <c r="H42" s="208">
        <f t="shared" si="0"/>
        <v>33098.5</v>
      </c>
      <c r="I42" s="208">
        <f t="shared" si="1"/>
        <v>40380.17</v>
      </c>
      <c r="J42" s="91">
        <v>1</v>
      </c>
      <c r="K42" s="98">
        <v>45000</v>
      </c>
      <c r="L42" s="93">
        <f t="shared" si="13"/>
        <v>45000</v>
      </c>
      <c r="M42" s="93">
        <f t="shared" si="14"/>
        <v>54900</v>
      </c>
      <c r="N42" s="91">
        <v>1</v>
      </c>
      <c r="O42" s="98">
        <v>33098.480000000003</v>
      </c>
      <c r="P42" s="93">
        <f t="shared" si="15"/>
        <v>33098.480000000003</v>
      </c>
      <c r="Q42" s="93">
        <f t="shared" si="16"/>
        <v>40380.145600000003</v>
      </c>
      <c r="R42" s="85">
        <v>2015</v>
      </c>
      <c r="S42" s="209">
        <f t="shared" si="6"/>
        <v>2.4399999994784594E-2</v>
      </c>
      <c r="T42" s="106">
        <f t="shared" si="7"/>
        <v>0.26447822222222217</v>
      </c>
      <c r="U42" s="108">
        <v>42317</v>
      </c>
      <c r="V42" s="108">
        <v>42338</v>
      </c>
      <c r="W42" s="108">
        <v>42361</v>
      </c>
      <c r="X42" s="108">
        <v>42368</v>
      </c>
      <c r="Y42" s="130" t="s">
        <v>261</v>
      </c>
      <c r="Z42" s="85"/>
      <c r="AA42" s="85" t="s">
        <v>250</v>
      </c>
      <c r="AB42" s="86" t="s">
        <v>249</v>
      </c>
      <c r="AC42" s="110">
        <v>42402</v>
      </c>
      <c r="AD42" s="110">
        <v>42417</v>
      </c>
      <c r="AE42" s="109" t="s">
        <v>350</v>
      </c>
      <c r="AF42" s="206" t="s">
        <v>1274</v>
      </c>
      <c r="AG42" s="91" t="s">
        <v>440</v>
      </c>
      <c r="AH42" s="215" t="s">
        <v>8</v>
      </c>
      <c r="AI42" s="129" t="s">
        <v>1541</v>
      </c>
    </row>
    <row r="43" spans="1:35" s="42" customFormat="1" ht="24" x14ac:dyDescent="0.25">
      <c r="A43" s="105">
        <v>42</v>
      </c>
      <c r="B43" s="86" t="s">
        <v>8</v>
      </c>
      <c r="C43" s="87" t="s">
        <v>53</v>
      </c>
      <c r="D43" s="107" t="s">
        <v>55</v>
      </c>
      <c r="E43" s="87" t="s">
        <v>56</v>
      </c>
      <c r="F43" s="86">
        <v>1</v>
      </c>
      <c r="G43" s="88">
        <v>15920.58</v>
      </c>
      <c r="H43" s="208">
        <f t="shared" si="0"/>
        <v>15920.58</v>
      </c>
      <c r="I43" s="208">
        <f t="shared" si="1"/>
        <v>19423.107599999999</v>
      </c>
      <c r="J43" s="86">
        <v>1</v>
      </c>
      <c r="K43" s="88">
        <v>16000</v>
      </c>
      <c r="L43" s="88">
        <f t="shared" si="13"/>
        <v>16000</v>
      </c>
      <c r="M43" s="88">
        <f t="shared" si="14"/>
        <v>19520</v>
      </c>
      <c r="N43" s="86">
        <v>1</v>
      </c>
      <c r="O43" s="88">
        <v>15920.575000000001</v>
      </c>
      <c r="P43" s="88">
        <f t="shared" si="15"/>
        <v>15920.575000000001</v>
      </c>
      <c r="Q43" s="88">
        <f t="shared" si="16"/>
        <v>19423.101500000001</v>
      </c>
      <c r="R43" s="85">
        <v>2015</v>
      </c>
      <c r="S43" s="209">
        <f t="shared" si="6"/>
        <v>6.0999999986961484E-3</v>
      </c>
      <c r="T43" s="106">
        <f t="shared" si="7"/>
        <v>4.9640624999999217E-3</v>
      </c>
      <c r="U43" s="108">
        <v>42023</v>
      </c>
      <c r="V43" s="108">
        <v>42045</v>
      </c>
      <c r="W43" s="108">
        <v>42093</v>
      </c>
      <c r="X43" s="108">
        <v>42095</v>
      </c>
      <c r="Y43" s="85" t="s">
        <v>481</v>
      </c>
      <c r="Z43" s="85"/>
      <c r="AA43" s="85" t="s">
        <v>396</v>
      </c>
      <c r="AB43" s="86" t="s">
        <v>397</v>
      </c>
      <c r="AC43" s="110">
        <v>42212</v>
      </c>
      <c r="AD43" s="110">
        <v>42311</v>
      </c>
      <c r="AE43" s="109" t="s">
        <v>398</v>
      </c>
      <c r="AF43" s="206" t="s">
        <v>1274</v>
      </c>
      <c r="AG43" s="109" t="s">
        <v>441</v>
      </c>
      <c r="AH43" s="215" t="s">
        <v>8</v>
      </c>
      <c r="AI43" s="129" t="s">
        <v>1541</v>
      </c>
    </row>
    <row r="44" spans="1:35" s="42" customFormat="1" ht="24" x14ac:dyDescent="0.25">
      <c r="A44" s="105">
        <v>43</v>
      </c>
      <c r="B44" s="86" t="s">
        <v>8</v>
      </c>
      <c r="C44" s="87" t="s">
        <v>53</v>
      </c>
      <c r="D44" s="107" t="s">
        <v>55</v>
      </c>
      <c r="E44" s="87" t="s">
        <v>15</v>
      </c>
      <c r="F44" s="86">
        <v>2</v>
      </c>
      <c r="G44" s="88">
        <v>14448</v>
      </c>
      <c r="H44" s="208">
        <f t="shared" si="0"/>
        <v>28896</v>
      </c>
      <c r="I44" s="208">
        <f t="shared" si="1"/>
        <v>35253.120000000003</v>
      </c>
      <c r="J44" s="86">
        <v>2</v>
      </c>
      <c r="K44" s="88">
        <v>14450</v>
      </c>
      <c r="L44" s="88">
        <f t="shared" si="13"/>
        <v>28900</v>
      </c>
      <c r="M44" s="88">
        <f t="shared" si="14"/>
        <v>35258</v>
      </c>
      <c r="N44" s="86">
        <v>2</v>
      </c>
      <c r="O44" s="88">
        <v>14448.031999999999</v>
      </c>
      <c r="P44" s="88">
        <f t="shared" si="15"/>
        <v>28896.063999999998</v>
      </c>
      <c r="Q44" s="88">
        <f t="shared" si="16"/>
        <v>35253.198079999995</v>
      </c>
      <c r="R44" s="85">
        <v>2015</v>
      </c>
      <c r="S44" s="209">
        <f t="shared" si="6"/>
        <v>-7.8079999992041849E-2</v>
      </c>
      <c r="T44" s="106">
        <f t="shared" si="7"/>
        <v>1.3619377162643609E-4</v>
      </c>
      <c r="U44" s="108">
        <v>42023</v>
      </c>
      <c r="V44" s="108">
        <v>42045</v>
      </c>
      <c r="W44" s="108">
        <v>42093</v>
      </c>
      <c r="X44" s="108">
        <v>42095</v>
      </c>
      <c r="Y44" s="85" t="s">
        <v>481</v>
      </c>
      <c r="Z44" s="85"/>
      <c r="AA44" s="85" t="s">
        <v>396</v>
      </c>
      <c r="AB44" s="86" t="s">
        <v>397</v>
      </c>
      <c r="AC44" s="110">
        <v>42212</v>
      </c>
      <c r="AD44" s="110">
        <v>42311</v>
      </c>
      <c r="AE44" s="109" t="s">
        <v>398</v>
      </c>
      <c r="AF44" s="206" t="s">
        <v>1274</v>
      </c>
      <c r="AG44" s="109" t="s">
        <v>441</v>
      </c>
      <c r="AH44" s="215" t="s">
        <v>8</v>
      </c>
      <c r="AI44" s="129" t="s">
        <v>1541</v>
      </c>
    </row>
    <row r="45" spans="1:35" s="42" customFormat="1" ht="24" x14ac:dyDescent="0.25">
      <c r="A45" s="105">
        <v>44</v>
      </c>
      <c r="B45" s="86" t="s">
        <v>8</v>
      </c>
      <c r="C45" s="87" t="s">
        <v>53</v>
      </c>
      <c r="D45" s="107" t="s">
        <v>55</v>
      </c>
      <c r="E45" s="87" t="s">
        <v>57</v>
      </c>
      <c r="F45" s="86">
        <v>2</v>
      </c>
      <c r="G45" s="88">
        <v>16028.88</v>
      </c>
      <c r="H45" s="208">
        <f t="shared" si="0"/>
        <v>32057.759999999998</v>
      </c>
      <c r="I45" s="208">
        <f t="shared" si="1"/>
        <v>39110.467199999999</v>
      </c>
      <c r="J45" s="86">
        <v>2</v>
      </c>
      <c r="K45" s="88">
        <v>16050</v>
      </c>
      <c r="L45" s="88">
        <f t="shared" si="13"/>
        <v>32100</v>
      </c>
      <c r="M45" s="88">
        <f t="shared" si="14"/>
        <v>39162</v>
      </c>
      <c r="N45" s="86">
        <v>2</v>
      </c>
      <c r="O45" s="88">
        <v>16028.85</v>
      </c>
      <c r="P45" s="88">
        <f t="shared" si="15"/>
        <v>32057.7</v>
      </c>
      <c r="Q45" s="88">
        <f t="shared" si="16"/>
        <v>39110.394</v>
      </c>
      <c r="R45" s="85">
        <v>2015</v>
      </c>
      <c r="S45" s="209">
        <f t="shared" si="6"/>
        <v>7.3199999998905696E-2</v>
      </c>
      <c r="T45" s="106">
        <f t="shared" si="7"/>
        <v>1.3177570093457769E-3</v>
      </c>
      <c r="U45" s="108">
        <v>42023</v>
      </c>
      <c r="V45" s="108">
        <v>42045</v>
      </c>
      <c r="W45" s="108">
        <v>42093</v>
      </c>
      <c r="X45" s="108">
        <v>42095</v>
      </c>
      <c r="Y45" s="85" t="s">
        <v>481</v>
      </c>
      <c r="Z45" s="85"/>
      <c r="AA45" s="85" t="s">
        <v>396</v>
      </c>
      <c r="AB45" s="86" t="s">
        <v>397</v>
      </c>
      <c r="AC45" s="110">
        <v>42212</v>
      </c>
      <c r="AD45" s="110">
        <v>42311</v>
      </c>
      <c r="AE45" s="109" t="s">
        <v>398</v>
      </c>
      <c r="AF45" s="206" t="s">
        <v>1274</v>
      </c>
      <c r="AG45" s="109" t="s">
        <v>441</v>
      </c>
      <c r="AH45" s="215" t="s">
        <v>8</v>
      </c>
      <c r="AI45" s="129" t="s">
        <v>1541</v>
      </c>
    </row>
    <row r="46" spans="1:35" s="8" customFormat="1" ht="24" x14ac:dyDescent="0.25">
      <c r="A46" s="105">
        <v>45</v>
      </c>
      <c r="B46" s="91" t="s">
        <v>8</v>
      </c>
      <c r="C46" s="103" t="s">
        <v>53</v>
      </c>
      <c r="D46" s="103" t="s">
        <v>64</v>
      </c>
      <c r="E46" s="92" t="s">
        <v>66</v>
      </c>
      <c r="F46" s="91">
        <v>1</v>
      </c>
      <c r="G46" s="93">
        <v>9840.67</v>
      </c>
      <c r="H46" s="208">
        <f t="shared" si="0"/>
        <v>9840.67</v>
      </c>
      <c r="I46" s="208">
        <f t="shared" si="1"/>
        <v>12005.617399999999</v>
      </c>
      <c r="J46" s="96">
        <v>1</v>
      </c>
      <c r="K46" s="99">
        <v>11090.76</v>
      </c>
      <c r="L46" s="88">
        <f t="shared" si="13"/>
        <v>11090.76</v>
      </c>
      <c r="M46" s="88">
        <f t="shared" si="14"/>
        <v>13530.727199999999</v>
      </c>
      <c r="N46" s="91">
        <v>1</v>
      </c>
      <c r="O46" s="93">
        <v>9840.67</v>
      </c>
      <c r="P46" s="93">
        <f>N46*O46</f>
        <v>9840.67</v>
      </c>
      <c r="Q46" s="93">
        <f>P46*1.22</f>
        <v>12005.617399999999</v>
      </c>
      <c r="R46" s="91">
        <v>2015</v>
      </c>
      <c r="S46" s="209">
        <f t="shared" si="6"/>
        <v>0</v>
      </c>
      <c r="T46" s="106">
        <f t="shared" si="7"/>
        <v>0.11271454796605462</v>
      </c>
      <c r="U46" s="102">
        <v>42130</v>
      </c>
      <c r="V46" s="131">
        <v>42145</v>
      </c>
      <c r="W46" s="102">
        <v>42181</v>
      </c>
      <c r="X46" s="102">
        <v>42185</v>
      </c>
      <c r="Y46" s="96" t="s">
        <v>570</v>
      </c>
      <c r="Z46" s="91"/>
      <c r="AA46" s="96">
        <v>6245932224</v>
      </c>
      <c r="AB46" s="91" t="s">
        <v>483</v>
      </c>
      <c r="AC46" s="101">
        <v>42381</v>
      </c>
      <c r="AD46" s="101">
        <v>42381</v>
      </c>
      <c r="AE46" s="91" t="s">
        <v>315</v>
      </c>
      <c r="AF46" s="206" t="s">
        <v>1274</v>
      </c>
      <c r="AG46" s="109" t="s">
        <v>442</v>
      </c>
      <c r="AH46" s="215" t="s">
        <v>8</v>
      </c>
      <c r="AI46" s="129" t="s">
        <v>1541</v>
      </c>
    </row>
    <row r="47" spans="1:35" s="8" customFormat="1" ht="24" x14ac:dyDescent="0.25">
      <c r="A47" s="105">
        <v>46</v>
      </c>
      <c r="B47" s="91" t="s">
        <v>8</v>
      </c>
      <c r="C47" s="103" t="s">
        <v>53</v>
      </c>
      <c r="D47" s="103" t="s">
        <v>64</v>
      </c>
      <c r="E47" s="92" t="s">
        <v>66</v>
      </c>
      <c r="F47" s="91">
        <v>1</v>
      </c>
      <c r="G47" s="93">
        <v>22289.41</v>
      </c>
      <c r="H47" s="208">
        <f t="shared" si="0"/>
        <v>22289.41</v>
      </c>
      <c r="I47" s="208">
        <f t="shared" si="1"/>
        <v>27193.0802</v>
      </c>
      <c r="J47" s="91">
        <v>1</v>
      </c>
      <c r="K47" s="93">
        <v>35000</v>
      </c>
      <c r="L47" s="93">
        <v>35000</v>
      </c>
      <c r="M47" s="88">
        <f t="shared" si="14"/>
        <v>42700</v>
      </c>
      <c r="N47" s="91">
        <v>1</v>
      </c>
      <c r="O47" s="93">
        <v>22262.71</v>
      </c>
      <c r="P47" s="93">
        <v>22289.41</v>
      </c>
      <c r="Q47" s="93">
        <f>P47*1.22</f>
        <v>27193.0802</v>
      </c>
      <c r="R47" s="91">
        <v>2015</v>
      </c>
      <c r="S47" s="209">
        <f t="shared" si="6"/>
        <v>0</v>
      </c>
      <c r="T47" s="106">
        <f t="shared" si="7"/>
        <v>0.36315971428571425</v>
      </c>
      <c r="U47" s="102">
        <v>42124</v>
      </c>
      <c r="V47" s="102">
        <v>42145</v>
      </c>
      <c r="W47" s="102">
        <v>42186</v>
      </c>
      <c r="X47" s="102">
        <v>42200</v>
      </c>
      <c r="Y47" s="96" t="s">
        <v>283</v>
      </c>
      <c r="Z47" s="91"/>
      <c r="AA47" s="91" t="s">
        <v>284</v>
      </c>
      <c r="AB47" s="91" t="s">
        <v>314</v>
      </c>
      <c r="AC47" s="101">
        <v>42381</v>
      </c>
      <c r="AD47" s="101">
        <v>42381</v>
      </c>
      <c r="AE47" s="96" t="s">
        <v>399</v>
      </c>
      <c r="AF47" s="206" t="s">
        <v>1274</v>
      </c>
      <c r="AG47" s="91" t="s">
        <v>443</v>
      </c>
      <c r="AH47" s="215" t="s">
        <v>8</v>
      </c>
      <c r="AI47" s="129" t="s">
        <v>1541</v>
      </c>
    </row>
    <row r="48" spans="1:35" s="12" customFormat="1" ht="36" x14ac:dyDescent="0.25">
      <c r="A48" s="105">
        <v>47</v>
      </c>
      <c r="B48" s="91" t="s">
        <v>8</v>
      </c>
      <c r="C48" s="92" t="s">
        <v>53</v>
      </c>
      <c r="D48" s="92" t="s">
        <v>64</v>
      </c>
      <c r="E48" s="92" t="s">
        <v>225</v>
      </c>
      <c r="F48" s="91">
        <v>1</v>
      </c>
      <c r="G48" s="93">
        <v>35365.97</v>
      </c>
      <c r="H48" s="208">
        <f t="shared" si="0"/>
        <v>35365.97</v>
      </c>
      <c r="I48" s="208">
        <f t="shared" si="1"/>
        <v>43146.483399999997</v>
      </c>
      <c r="J48" s="91">
        <v>1</v>
      </c>
      <c r="K48" s="93">
        <v>45000</v>
      </c>
      <c r="L48" s="93">
        <f>J48*K48</f>
        <v>45000</v>
      </c>
      <c r="M48" s="93">
        <f t="shared" ref="M48:M58" si="17">L48*1.22</f>
        <v>54900</v>
      </c>
      <c r="N48" s="91">
        <v>1</v>
      </c>
      <c r="O48" s="93">
        <v>35365.97</v>
      </c>
      <c r="P48" s="93">
        <v>35365.97</v>
      </c>
      <c r="Q48" s="93">
        <f>P48*1.22</f>
        <v>43146.483399999997</v>
      </c>
      <c r="R48" s="91">
        <v>2015</v>
      </c>
      <c r="S48" s="209">
        <f t="shared" si="6"/>
        <v>0</v>
      </c>
      <c r="T48" s="106">
        <f t="shared" si="7"/>
        <v>0.21408955555555564</v>
      </c>
      <c r="U48" s="101">
        <v>42054</v>
      </c>
      <c r="V48" s="102">
        <v>42069</v>
      </c>
      <c r="W48" s="101">
        <v>42102</v>
      </c>
      <c r="X48" s="101">
        <v>42115</v>
      </c>
      <c r="Y48" s="137" t="s">
        <v>269</v>
      </c>
      <c r="Z48" s="91"/>
      <c r="AA48" s="137" t="s">
        <v>270</v>
      </c>
      <c r="AB48" s="91" t="s">
        <v>370</v>
      </c>
      <c r="AC48" s="101">
        <v>42143</v>
      </c>
      <c r="AD48" s="101">
        <v>42143</v>
      </c>
      <c r="AE48" s="91" t="s">
        <v>351</v>
      </c>
      <c r="AF48" s="206" t="s">
        <v>1274</v>
      </c>
      <c r="AG48" s="91" t="s">
        <v>444</v>
      </c>
      <c r="AH48" s="215" t="s">
        <v>8</v>
      </c>
      <c r="AI48" s="129" t="s">
        <v>1541</v>
      </c>
    </row>
    <row r="49" spans="1:35" s="12" customFormat="1" ht="24" x14ac:dyDescent="0.25">
      <c r="A49" s="105">
        <v>48</v>
      </c>
      <c r="B49" s="91" t="s">
        <v>8</v>
      </c>
      <c r="C49" s="92" t="s">
        <v>53</v>
      </c>
      <c r="D49" s="92" t="s">
        <v>64</v>
      </c>
      <c r="E49" s="92" t="s">
        <v>193</v>
      </c>
      <c r="F49" s="91">
        <v>1</v>
      </c>
      <c r="G49" s="93">
        <v>36164.910000000003</v>
      </c>
      <c r="H49" s="208">
        <f t="shared" si="0"/>
        <v>36164.910000000003</v>
      </c>
      <c r="I49" s="208">
        <f t="shared" si="1"/>
        <v>44121.190200000005</v>
      </c>
      <c r="J49" s="91">
        <v>1</v>
      </c>
      <c r="K49" s="93">
        <v>41000</v>
      </c>
      <c r="L49" s="93">
        <v>41000</v>
      </c>
      <c r="M49" s="93">
        <f t="shared" si="17"/>
        <v>50020</v>
      </c>
      <c r="N49" s="91">
        <v>1</v>
      </c>
      <c r="O49" s="93">
        <v>36164.910000000003</v>
      </c>
      <c r="P49" s="93">
        <v>36164.910000000003</v>
      </c>
      <c r="Q49" s="93">
        <f t="shared" ref="Q49:Q57" si="18">P49*1.22</f>
        <v>44121.190200000005</v>
      </c>
      <c r="R49" s="91">
        <v>2015</v>
      </c>
      <c r="S49" s="209">
        <f t="shared" si="6"/>
        <v>0</v>
      </c>
      <c r="T49" s="106">
        <f t="shared" si="7"/>
        <v>0.11792902439024378</v>
      </c>
      <c r="U49" s="101">
        <v>42072</v>
      </c>
      <c r="V49" s="102">
        <v>42087</v>
      </c>
      <c r="W49" s="101">
        <v>42123</v>
      </c>
      <c r="X49" s="101">
        <v>42146</v>
      </c>
      <c r="Y49" s="91" t="s">
        <v>271</v>
      </c>
      <c r="Z49" s="91"/>
      <c r="AA49" s="91" t="s">
        <v>456</v>
      </c>
      <c r="AB49" s="91" t="s">
        <v>371</v>
      </c>
      <c r="AC49" s="101">
        <v>42172</v>
      </c>
      <c r="AD49" s="101">
        <v>42172</v>
      </c>
      <c r="AE49" s="91" t="s">
        <v>351</v>
      </c>
      <c r="AF49" s="206" t="s">
        <v>1274</v>
      </c>
      <c r="AG49" s="91" t="s">
        <v>444</v>
      </c>
      <c r="AH49" s="215" t="s">
        <v>8</v>
      </c>
      <c r="AI49" s="129" t="s">
        <v>1541</v>
      </c>
    </row>
    <row r="50" spans="1:35" s="12" customFormat="1" ht="24" x14ac:dyDescent="0.25">
      <c r="A50" s="105">
        <v>49</v>
      </c>
      <c r="B50" s="91" t="s">
        <v>8</v>
      </c>
      <c r="C50" s="95" t="s">
        <v>9</v>
      </c>
      <c r="D50" s="95" t="s">
        <v>231</v>
      </c>
      <c r="E50" s="95" t="s">
        <v>211</v>
      </c>
      <c r="F50" s="132">
        <v>1</v>
      </c>
      <c r="G50" s="93">
        <v>87900</v>
      </c>
      <c r="H50" s="208">
        <f t="shared" si="0"/>
        <v>87900</v>
      </c>
      <c r="I50" s="208">
        <f t="shared" si="1"/>
        <v>107238</v>
      </c>
      <c r="J50" s="132">
        <v>1</v>
      </c>
      <c r="K50" s="93">
        <v>138000</v>
      </c>
      <c r="L50" s="93">
        <f t="shared" ref="L50:L58" si="19">J50*K50</f>
        <v>138000</v>
      </c>
      <c r="M50" s="93">
        <f t="shared" si="17"/>
        <v>168360</v>
      </c>
      <c r="N50" s="91">
        <v>1</v>
      </c>
      <c r="O50" s="88">
        <v>87900</v>
      </c>
      <c r="P50" s="88">
        <f t="shared" ref="P50:P57" si="20">N50*O50</f>
        <v>87900</v>
      </c>
      <c r="Q50" s="88">
        <f t="shared" si="18"/>
        <v>107238</v>
      </c>
      <c r="R50" s="91">
        <v>2015</v>
      </c>
      <c r="S50" s="209">
        <f t="shared" si="6"/>
        <v>0</v>
      </c>
      <c r="T50" s="106">
        <f t="shared" si="7"/>
        <v>0.36304347826086958</v>
      </c>
      <c r="U50" s="101">
        <v>41989</v>
      </c>
      <c r="V50" s="102">
        <v>42060</v>
      </c>
      <c r="W50" s="101">
        <v>42293</v>
      </c>
      <c r="X50" s="101">
        <v>42339</v>
      </c>
      <c r="Y50" s="91" t="s">
        <v>400</v>
      </c>
      <c r="Z50" s="91"/>
      <c r="AA50" s="91" t="s">
        <v>401</v>
      </c>
      <c r="AB50" s="91" t="s">
        <v>402</v>
      </c>
      <c r="AC50" s="101">
        <v>42391</v>
      </c>
      <c r="AD50" s="101">
        <v>42395</v>
      </c>
      <c r="AE50" s="91" t="s">
        <v>403</v>
      </c>
      <c r="AF50" s="206" t="s">
        <v>1274</v>
      </c>
      <c r="AG50" s="91" t="s">
        <v>445</v>
      </c>
      <c r="AH50" s="215" t="s">
        <v>8</v>
      </c>
      <c r="AI50" s="129" t="s">
        <v>1541</v>
      </c>
    </row>
    <row r="51" spans="1:35" s="12" customFormat="1" ht="24" x14ac:dyDescent="0.25">
      <c r="A51" s="105">
        <v>50</v>
      </c>
      <c r="B51" s="91" t="s">
        <v>8</v>
      </c>
      <c r="C51" s="95" t="s">
        <v>9</v>
      </c>
      <c r="D51" s="95" t="s">
        <v>316</v>
      </c>
      <c r="E51" s="95" t="s">
        <v>317</v>
      </c>
      <c r="F51" s="132">
        <v>1</v>
      </c>
      <c r="G51" s="93">
        <v>3967</v>
      </c>
      <c r="H51" s="208">
        <f t="shared" si="0"/>
        <v>3967</v>
      </c>
      <c r="I51" s="208">
        <f t="shared" si="1"/>
        <v>4839.74</v>
      </c>
      <c r="J51" s="132">
        <v>1</v>
      </c>
      <c r="K51" s="93">
        <v>6000</v>
      </c>
      <c r="L51" s="93">
        <f t="shared" si="19"/>
        <v>6000</v>
      </c>
      <c r="M51" s="93">
        <f t="shared" si="17"/>
        <v>7320</v>
      </c>
      <c r="N51" s="91">
        <v>1</v>
      </c>
      <c r="O51" s="88">
        <v>3967.5</v>
      </c>
      <c r="P51" s="88">
        <f>N51*O51</f>
        <v>3967.5</v>
      </c>
      <c r="Q51" s="88">
        <f>P51*1.22</f>
        <v>4840.3499999999995</v>
      </c>
      <c r="R51" s="91">
        <v>2015</v>
      </c>
      <c r="S51" s="209">
        <f t="shared" si="6"/>
        <v>-0.60999999999967258</v>
      </c>
      <c r="T51" s="106">
        <f t="shared" si="7"/>
        <v>0.33875000000000011</v>
      </c>
      <c r="U51" s="101">
        <v>42278</v>
      </c>
      <c r="V51" s="102">
        <v>42296</v>
      </c>
      <c r="W51" s="101">
        <v>42339</v>
      </c>
      <c r="X51" s="101">
        <v>42356</v>
      </c>
      <c r="Y51" s="91" t="s">
        <v>365</v>
      </c>
      <c r="Z51" s="91"/>
      <c r="AA51" s="91" t="s">
        <v>364</v>
      </c>
      <c r="AB51" s="91" t="s">
        <v>466</v>
      </c>
      <c r="AC51" s="101">
        <v>42423</v>
      </c>
      <c r="AD51" s="101">
        <v>42451</v>
      </c>
      <c r="AE51" s="91" t="s">
        <v>363</v>
      </c>
      <c r="AF51" s="206" t="s">
        <v>1274</v>
      </c>
      <c r="AG51" s="91" t="s">
        <v>446</v>
      </c>
      <c r="AH51" s="215" t="s">
        <v>8</v>
      </c>
      <c r="AI51" s="129" t="s">
        <v>1541</v>
      </c>
    </row>
    <row r="52" spans="1:35" s="12" customFormat="1" ht="24" x14ac:dyDescent="0.25">
      <c r="A52" s="105">
        <v>51</v>
      </c>
      <c r="B52" s="91" t="s">
        <v>8</v>
      </c>
      <c r="C52" s="92" t="s">
        <v>53</v>
      </c>
      <c r="D52" s="92" t="s">
        <v>304</v>
      </c>
      <c r="E52" s="92" t="s">
        <v>54</v>
      </c>
      <c r="F52" s="91">
        <v>1</v>
      </c>
      <c r="G52" s="93">
        <v>39144</v>
      </c>
      <c r="H52" s="208">
        <f t="shared" si="0"/>
        <v>39144</v>
      </c>
      <c r="I52" s="208">
        <f t="shared" si="1"/>
        <v>47755.68</v>
      </c>
      <c r="J52" s="91">
        <v>1</v>
      </c>
      <c r="K52" s="93">
        <v>39900</v>
      </c>
      <c r="L52" s="93">
        <f t="shared" si="19"/>
        <v>39900</v>
      </c>
      <c r="M52" s="93">
        <f t="shared" si="17"/>
        <v>48678</v>
      </c>
      <c r="N52" s="91">
        <v>1</v>
      </c>
      <c r="O52" s="93">
        <v>39144</v>
      </c>
      <c r="P52" s="93">
        <f>N52*O52</f>
        <v>39144</v>
      </c>
      <c r="Q52" s="93">
        <f>P52*1.22</f>
        <v>47755.68</v>
      </c>
      <c r="R52" s="91">
        <v>2016</v>
      </c>
      <c r="S52" s="209">
        <f t="shared" si="6"/>
        <v>0</v>
      </c>
      <c r="T52" s="106">
        <f t="shared" si="7"/>
        <v>1.8947368421052602E-2</v>
      </c>
      <c r="U52" s="101">
        <v>42459</v>
      </c>
      <c r="V52" s="102">
        <v>42474</v>
      </c>
      <c r="W52" s="101">
        <v>42474</v>
      </c>
      <c r="X52" s="101">
        <v>42520</v>
      </c>
      <c r="Y52" s="91" t="s">
        <v>464</v>
      </c>
      <c r="Z52" s="91"/>
      <c r="AA52" s="91" t="s">
        <v>465</v>
      </c>
      <c r="AB52" s="91" t="s">
        <v>482</v>
      </c>
      <c r="AC52" s="101">
        <v>42555</v>
      </c>
      <c r="AD52" s="101">
        <v>42565</v>
      </c>
      <c r="AE52" s="206" t="s">
        <v>576</v>
      </c>
      <c r="AF52" s="206" t="s">
        <v>1274</v>
      </c>
      <c r="AG52" s="206" t="s">
        <v>585</v>
      </c>
      <c r="AH52" s="215" t="s">
        <v>8</v>
      </c>
      <c r="AI52" s="129" t="s">
        <v>1541</v>
      </c>
    </row>
    <row r="53" spans="1:35" s="42" customFormat="1" ht="24" x14ac:dyDescent="0.25">
      <c r="A53" s="105">
        <v>52</v>
      </c>
      <c r="B53" s="86" t="s">
        <v>8</v>
      </c>
      <c r="C53" s="87" t="s">
        <v>9</v>
      </c>
      <c r="D53" s="87" t="s">
        <v>21</v>
      </c>
      <c r="E53" s="87" t="s">
        <v>22</v>
      </c>
      <c r="F53" s="86">
        <v>1</v>
      </c>
      <c r="G53" s="88">
        <v>55000</v>
      </c>
      <c r="H53" s="208">
        <f t="shared" si="0"/>
        <v>55000</v>
      </c>
      <c r="I53" s="208">
        <f t="shared" si="1"/>
        <v>67100</v>
      </c>
      <c r="J53" s="86">
        <v>1</v>
      </c>
      <c r="K53" s="88">
        <v>55000</v>
      </c>
      <c r="L53" s="88">
        <f t="shared" si="19"/>
        <v>55000</v>
      </c>
      <c r="M53" s="88">
        <f t="shared" si="17"/>
        <v>67100</v>
      </c>
      <c r="N53" s="86">
        <v>1</v>
      </c>
      <c r="O53" s="88">
        <v>52745</v>
      </c>
      <c r="P53" s="88">
        <f t="shared" si="20"/>
        <v>52745</v>
      </c>
      <c r="Q53" s="88">
        <f t="shared" si="18"/>
        <v>64348.9</v>
      </c>
      <c r="R53" s="85">
        <v>2016</v>
      </c>
      <c r="S53" s="209">
        <f t="shared" si="6"/>
        <v>2751.0999999999985</v>
      </c>
      <c r="T53" s="106">
        <f t="shared" si="7"/>
        <v>4.0999999999999925E-2</v>
      </c>
      <c r="U53" s="108">
        <v>42453</v>
      </c>
      <c r="V53" s="108">
        <v>42478</v>
      </c>
      <c r="W53" s="108">
        <v>42517</v>
      </c>
      <c r="X53" s="108">
        <v>42566</v>
      </c>
      <c r="Y53" s="85" t="s">
        <v>487</v>
      </c>
      <c r="Z53" s="85"/>
      <c r="AA53" s="85" t="s">
        <v>668</v>
      </c>
      <c r="AB53" s="86" t="s">
        <v>486</v>
      </c>
      <c r="AC53" s="110">
        <v>42641</v>
      </c>
      <c r="AD53" s="110">
        <v>42829</v>
      </c>
      <c r="AE53" s="109" t="s">
        <v>666</v>
      </c>
      <c r="AF53" s="206" t="s">
        <v>1274</v>
      </c>
      <c r="AG53" s="109" t="s">
        <v>673</v>
      </c>
      <c r="AH53" s="215" t="s">
        <v>8</v>
      </c>
      <c r="AI53" s="129" t="s">
        <v>1541</v>
      </c>
    </row>
    <row r="54" spans="1:35" s="42" customFormat="1" ht="48" x14ac:dyDescent="0.25">
      <c r="A54" s="105">
        <v>53</v>
      </c>
      <c r="B54" s="86" t="s">
        <v>8</v>
      </c>
      <c r="C54" s="87" t="s">
        <v>9</v>
      </c>
      <c r="D54" s="87" t="s">
        <v>28</v>
      </c>
      <c r="E54" s="87" t="s">
        <v>33</v>
      </c>
      <c r="F54" s="86">
        <v>1</v>
      </c>
      <c r="G54" s="88">
        <v>35000</v>
      </c>
      <c r="H54" s="208">
        <f t="shared" si="0"/>
        <v>35000</v>
      </c>
      <c r="I54" s="208">
        <f t="shared" si="1"/>
        <v>42700</v>
      </c>
      <c r="J54" s="86">
        <v>1</v>
      </c>
      <c r="K54" s="88">
        <v>38000</v>
      </c>
      <c r="L54" s="88">
        <f t="shared" si="19"/>
        <v>38000</v>
      </c>
      <c r="M54" s="88">
        <f t="shared" si="17"/>
        <v>46360</v>
      </c>
      <c r="N54" s="86">
        <v>1</v>
      </c>
      <c r="O54" s="88">
        <v>37336.92</v>
      </c>
      <c r="P54" s="88">
        <f t="shared" si="20"/>
        <v>37336.92</v>
      </c>
      <c r="Q54" s="88">
        <f t="shared" si="18"/>
        <v>45551.042399999998</v>
      </c>
      <c r="R54" s="85">
        <v>2016</v>
      </c>
      <c r="S54" s="209">
        <f t="shared" si="6"/>
        <v>-2851.0423999999985</v>
      </c>
      <c r="T54" s="106">
        <f t="shared" si="7"/>
        <v>1.744947368421057E-2</v>
      </c>
      <c r="U54" s="110" t="s">
        <v>676</v>
      </c>
      <c r="V54" s="110" t="s">
        <v>675</v>
      </c>
      <c r="W54" s="110">
        <v>42683</v>
      </c>
      <c r="X54" s="138">
        <v>42760</v>
      </c>
      <c r="Y54" s="86" t="s">
        <v>810</v>
      </c>
      <c r="Z54" s="85"/>
      <c r="AA54" s="129" t="s">
        <v>653</v>
      </c>
      <c r="AB54" s="86" t="s">
        <v>635</v>
      </c>
      <c r="AC54" s="110">
        <v>42783</v>
      </c>
      <c r="AD54" s="110">
        <v>42794</v>
      </c>
      <c r="AE54" s="109" t="s">
        <v>674</v>
      </c>
      <c r="AF54" s="206" t="s">
        <v>1274</v>
      </c>
      <c r="AG54" s="109" t="s">
        <v>688</v>
      </c>
      <c r="AH54" s="215" t="s">
        <v>8</v>
      </c>
      <c r="AI54" s="129" t="s">
        <v>1541</v>
      </c>
    </row>
    <row r="55" spans="1:35" s="12" customFormat="1" ht="36" x14ac:dyDescent="0.25">
      <c r="A55" s="105">
        <v>54</v>
      </c>
      <c r="B55" s="91" t="s">
        <v>8</v>
      </c>
      <c r="C55" s="92" t="s">
        <v>53</v>
      </c>
      <c r="D55" s="92" t="s">
        <v>64</v>
      </c>
      <c r="E55" s="92" t="s">
        <v>229</v>
      </c>
      <c r="F55" s="91">
        <v>1</v>
      </c>
      <c r="G55" s="93">
        <v>14114.37</v>
      </c>
      <c r="H55" s="208">
        <f t="shared" si="0"/>
        <v>14114.37</v>
      </c>
      <c r="I55" s="208">
        <f t="shared" si="1"/>
        <v>17219.5314</v>
      </c>
      <c r="J55" s="91">
        <v>1</v>
      </c>
      <c r="K55" s="93">
        <v>14114.37</v>
      </c>
      <c r="L55" s="93">
        <f t="shared" si="19"/>
        <v>14114.37</v>
      </c>
      <c r="M55" s="93">
        <f t="shared" si="17"/>
        <v>17219.5314</v>
      </c>
      <c r="N55" s="91">
        <v>1</v>
      </c>
      <c r="O55" s="93">
        <v>12789.75</v>
      </c>
      <c r="P55" s="93">
        <f>N55*O55</f>
        <v>12789.75</v>
      </c>
      <c r="Q55" s="93">
        <f>P55*1.22</f>
        <v>15603.494999999999</v>
      </c>
      <c r="R55" s="91">
        <v>2016</v>
      </c>
      <c r="S55" s="209">
        <f t="shared" si="6"/>
        <v>1616.0364000000009</v>
      </c>
      <c r="T55" s="106">
        <f t="shared" si="7"/>
        <v>9.3849034707181422E-2</v>
      </c>
      <c r="U55" s="101">
        <v>42453</v>
      </c>
      <c r="V55" s="102">
        <v>42467</v>
      </c>
      <c r="W55" s="101">
        <v>42498</v>
      </c>
      <c r="X55" s="101">
        <v>42545</v>
      </c>
      <c r="Y55" s="91" t="s">
        <v>369</v>
      </c>
      <c r="Z55" s="91"/>
      <c r="AA55" s="91" t="s">
        <v>367</v>
      </c>
      <c r="AB55" s="91" t="s">
        <v>368</v>
      </c>
      <c r="AC55" s="101" t="s">
        <v>811</v>
      </c>
      <c r="AD55" s="101">
        <v>42585</v>
      </c>
      <c r="AE55" s="206" t="s">
        <v>572</v>
      </c>
      <c r="AF55" s="206" t="s">
        <v>1274</v>
      </c>
      <c r="AG55" s="133" t="s">
        <v>586</v>
      </c>
      <c r="AH55" s="215" t="s">
        <v>8</v>
      </c>
      <c r="AI55" s="129" t="s">
        <v>1541</v>
      </c>
    </row>
    <row r="56" spans="1:35" s="12" customFormat="1" ht="24" x14ac:dyDescent="0.25">
      <c r="A56" s="105">
        <v>55</v>
      </c>
      <c r="B56" s="91" t="s">
        <v>8</v>
      </c>
      <c r="C56" s="92" t="s">
        <v>53</v>
      </c>
      <c r="D56" s="92" t="s">
        <v>64</v>
      </c>
      <c r="E56" s="92" t="s">
        <v>305</v>
      </c>
      <c r="F56" s="91">
        <v>2</v>
      </c>
      <c r="G56" s="93">
        <v>6500</v>
      </c>
      <c r="H56" s="208">
        <f t="shared" si="0"/>
        <v>13000</v>
      </c>
      <c r="I56" s="208">
        <f t="shared" si="1"/>
        <v>15860</v>
      </c>
      <c r="J56" s="91">
        <v>2</v>
      </c>
      <c r="K56" s="93">
        <v>6500</v>
      </c>
      <c r="L56" s="93">
        <f t="shared" si="19"/>
        <v>13000</v>
      </c>
      <c r="M56" s="93">
        <f t="shared" si="17"/>
        <v>15860</v>
      </c>
      <c r="N56" s="91">
        <v>2</v>
      </c>
      <c r="O56" s="93">
        <v>4892.3999999999996</v>
      </c>
      <c r="P56" s="93">
        <f>N56*O56</f>
        <v>9784.7999999999993</v>
      </c>
      <c r="Q56" s="93">
        <f>P56*1.22</f>
        <v>11937.455999999998</v>
      </c>
      <c r="R56" s="91">
        <v>2016</v>
      </c>
      <c r="S56" s="209">
        <f t="shared" si="6"/>
        <v>3922.5440000000017</v>
      </c>
      <c r="T56" s="106">
        <f t="shared" si="7"/>
        <v>0.24732307692307698</v>
      </c>
      <c r="U56" s="101">
        <v>42571</v>
      </c>
      <c r="V56" s="102">
        <v>42634</v>
      </c>
      <c r="W56" s="101">
        <v>42683</v>
      </c>
      <c r="X56" s="101">
        <v>42695</v>
      </c>
      <c r="Y56" s="101">
        <v>42702</v>
      </c>
      <c r="Z56" s="91"/>
      <c r="AA56" s="91" t="s">
        <v>568</v>
      </c>
      <c r="AB56" s="91" t="s">
        <v>602</v>
      </c>
      <c r="AC56" s="101">
        <v>42752</v>
      </c>
      <c r="AD56" s="101">
        <v>42753</v>
      </c>
      <c r="AE56" s="91" t="s">
        <v>649</v>
      </c>
      <c r="AF56" s="206" t="s">
        <v>1274</v>
      </c>
      <c r="AG56" s="91" t="s">
        <v>670</v>
      </c>
      <c r="AH56" s="215" t="s">
        <v>8</v>
      </c>
      <c r="AI56" s="129" t="s">
        <v>1541</v>
      </c>
    </row>
    <row r="57" spans="1:35" s="42" customFormat="1" ht="24" x14ac:dyDescent="0.25">
      <c r="A57" s="105">
        <v>56</v>
      </c>
      <c r="B57" s="86" t="s">
        <v>8</v>
      </c>
      <c r="C57" s="87" t="s">
        <v>9</v>
      </c>
      <c r="D57" s="87" t="s">
        <v>44</v>
      </c>
      <c r="E57" s="87" t="s">
        <v>45</v>
      </c>
      <c r="F57" s="86">
        <v>1</v>
      </c>
      <c r="G57" s="88">
        <v>10000</v>
      </c>
      <c r="H57" s="208">
        <f t="shared" si="0"/>
        <v>10000</v>
      </c>
      <c r="I57" s="208">
        <f t="shared" si="1"/>
        <v>12200</v>
      </c>
      <c r="J57" s="86">
        <v>1</v>
      </c>
      <c r="K57" s="88">
        <v>8200</v>
      </c>
      <c r="L57" s="88">
        <f t="shared" si="19"/>
        <v>8200</v>
      </c>
      <c r="M57" s="88">
        <f t="shared" si="17"/>
        <v>10004</v>
      </c>
      <c r="N57" s="86">
        <v>1</v>
      </c>
      <c r="O57" s="88">
        <v>5700</v>
      </c>
      <c r="P57" s="88">
        <f t="shared" si="20"/>
        <v>5700</v>
      </c>
      <c r="Q57" s="88">
        <f t="shared" si="18"/>
        <v>6954</v>
      </c>
      <c r="R57" s="85">
        <v>2016</v>
      </c>
      <c r="S57" s="209">
        <f t="shared" si="6"/>
        <v>5246</v>
      </c>
      <c r="T57" s="106">
        <f t="shared" si="7"/>
        <v>0.30487804878048785</v>
      </c>
      <c r="U57" s="108">
        <v>42571</v>
      </c>
      <c r="V57" s="108">
        <v>42634</v>
      </c>
      <c r="W57" s="108">
        <v>42689</v>
      </c>
      <c r="X57" s="108">
        <v>42698</v>
      </c>
      <c r="Y57" s="108">
        <v>42704</v>
      </c>
      <c r="Z57" s="85"/>
      <c r="AA57" s="109" t="s">
        <v>569</v>
      </c>
      <c r="AB57" s="91" t="s">
        <v>634</v>
      </c>
      <c r="AC57" s="110">
        <v>42711</v>
      </c>
      <c r="AD57" s="110">
        <v>42747</v>
      </c>
      <c r="AE57" s="109" t="s">
        <v>657</v>
      </c>
      <c r="AF57" s="206" t="s">
        <v>1274</v>
      </c>
      <c r="AG57" s="109" t="s">
        <v>671</v>
      </c>
      <c r="AH57" s="215" t="s">
        <v>8</v>
      </c>
      <c r="AI57" s="129" t="s">
        <v>1541</v>
      </c>
    </row>
    <row r="58" spans="1:35" s="12" customFormat="1" ht="24" x14ac:dyDescent="0.25">
      <c r="A58" s="105">
        <v>57</v>
      </c>
      <c r="B58" s="91" t="s">
        <v>8</v>
      </c>
      <c r="C58" s="95" t="s">
        <v>295</v>
      </c>
      <c r="D58" s="95" t="s">
        <v>10</v>
      </c>
      <c r="E58" s="95" t="s">
        <v>189</v>
      </c>
      <c r="F58" s="132">
        <v>30</v>
      </c>
      <c r="G58" s="93">
        <v>6000</v>
      </c>
      <c r="H58" s="208">
        <f t="shared" si="0"/>
        <v>180000</v>
      </c>
      <c r="I58" s="208">
        <f t="shared" si="1"/>
        <v>219600</v>
      </c>
      <c r="J58" s="132">
        <v>27</v>
      </c>
      <c r="K58" s="93">
        <v>6000</v>
      </c>
      <c r="L58" s="93">
        <f t="shared" si="19"/>
        <v>162000</v>
      </c>
      <c r="M58" s="93">
        <f t="shared" si="17"/>
        <v>197640</v>
      </c>
      <c r="N58" s="132">
        <v>27</v>
      </c>
      <c r="O58" s="93">
        <v>3894.25</v>
      </c>
      <c r="P58" s="93">
        <f>N58*O58</f>
        <v>105144.75</v>
      </c>
      <c r="Q58" s="93">
        <f>P58*1.22</f>
        <v>128276.595</v>
      </c>
      <c r="R58" s="91">
        <v>2016</v>
      </c>
      <c r="S58" s="209">
        <f t="shared" si="6"/>
        <v>91323.404999999999</v>
      </c>
      <c r="T58" s="106">
        <f t="shared" si="7"/>
        <v>0.35095833333333337</v>
      </c>
      <c r="U58" s="101">
        <v>42548</v>
      </c>
      <c r="V58" s="102">
        <v>42566</v>
      </c>
      <c r="W58" s="101">
        <v>42578</v>
      </c>
      <c r="X58" s="101">
        <v>42625</v>
      </c>
      <c r="Y58" s="91" t="s">
        <v>589</v>
      </c>
      <c r="Z58" s="91"/>
      <c r="AA58" s="136" t="s">
        <v>467</v>
      </c>
      <c r="AB58" s="91" t="s">
        <v>588</v>
      </c>
      <c r="AC58" s="101" t="s">
        <v>650</v>
      </c>
      <c r="AD58" s="101" t="s">
        <v>651</v>
      </c>
      <c r="AE58" s="91" t="s">
        <v>669</v>
      </c>
      <c r="AF58" s="206" t="s">
        <v>1274</v>
      </c>
      <c r="AG58" s="91" t="s">
        <v>672</v>
      </c>
      <c r="AH58" s="215" t="s">
        <v>8</v>
      </c>
      <c r="AI58" s="129" t="s">
        <v>1541</v>
      </c>
    </row>
    <row r="59" spans="1:35" s="42" customFormat="1" ht="72" x14ac:dyDescent="0.25">
      <c r="A59" s="105">
        <v>58</v>
      </c>
      <c r="B59" s="86" t="s">
        <v>8</v>
      </c>
      <c r="C59" s="87" t="s">
        <v>9</v>
      </c>
      <c r="D59" s="87" t="s">
        <v>306</v>
      </c>
      <c r="E59" s="87" t="s">
        <v>27</v>
      </c>
      <c r="F59" s="86">
        <v>16</v>
      </c>
      <c r="G59" s="88">
        <v>3500</v>
      </c>
      <c r="H59" s="208">
        <f t="shared" si="0"/>
        <v>56000</v>
      </c>
      <c r="I59" s="208">
        <f t="shared" si="1"/>
        <v>68320</v>
      </c>
      <c r="J59" s="132">
        <v>22</v>
      </c>
      <c r="K59" s="93">
        <f>(21*2619.0475+5000+13*253.85)/22</f>
        <v>2877.2748863636366</v>
      </c>
      <c r="L59" s="93">
        <f t="shared" ref="L59" si="21">J59*K59</f>
        <v>63300.047500000008</v>
      </c>
      <c r="M59" s="93">
        <f t="shared" ref="M59" si="22">L59*1.22</f>
        <v>77226.057950000002</v>
      </c>
      <c r="N59" s="132">
        <v>22</v>
      </c>
      <c r="O59" s="93">
        <f>(21*2337.01+2433.86+13*170)/22</f>
        <v>2441.8668181818184</v>
      </c>
      <c r="P59" s="93">
        <f>N59*O59</f>
        <v>53721.070000000007</v>
      </c>
      <c r="Q59" s="93">
        <f>P59*1.22</f>
        <v>65539.705400000006</v>
      </c>
      <c r="R59" s="85">
        <v>2019</v>
      </c>
      <c r="S59" s="209">
        <f t="shared" si="6"/>
        <v>2780.2945999999938</v>
      </c>
      <c r="T59" s="106">
        <f t="shared" si="7"/>
        <v>0.15132654521309796</v>
      </c>
      <c r="U59" s="108">
        <v>43441</v>
      </c>
      <c r="V59" s="108">
        <v>43455</v>
      </c>
      <c r="W59" s="108">
        <v>43531</v>
      </c>
      <c r="X59" s="108">
        <v>43546</v>
      </c>
      <c r="Y59" s="86" t="s">
        <v>1127</v>
      </c>
      <c r="Z59" s="91" t="s">
        <v>1129</v>
      </c>
      <c r="AA59" s="86" t="s">
        <v>1212</v>
      </c>
      <c r="AB59" s="86" t="s">
        <v>974</v>
      </c>
      <c r="AC59" s="101" t="s">
        <v>1216</v>
      </c>
      <c r="AD59" s="101" t="s">
        <v>1215</v>
      </c>
      <c r="AE59" s="91" t="s">
        <v>1278</v>
      </c>
      <c r="AF59" s="85" t="s">
        <v>1376</v>
      </c>
      <c r="AG59" s="129" t="s">
        <v>1286</v>
      </c>
      <c r="AH59" s="215" t="s">
        <v>8</v>
      </c>
      <c r="AI59" s="129" t="s">
        <v>1541</v>
      </c>
    </row>
    <row r="60" spans="1:35" s="12" customFormat="1" ht="72" x14ac:dyDescent="0.25">
      <c r="A60" s="105">
        <v>59</v>
      </c>
      <c r="B60" s="91" t="s">
        <v>8</v>
      </c>
      <c r="C60" s="95" t="s">
        <v>295</v>
      </c>
      <c r="D60" s="95" t="s">
        <v>10</v>
      </c>
      <c r="E60" s="95" t="s">
        <v>27</v>
      </c>
      <c r="F60" s="132">
        <v>30</v>
      </c>
      <c r="G60" s="93">
        <v>2285.7312000000002</v>
      </c>
      <c r="H60" s="208">
        <f t="shared" si="0"/>
        <v>68571.936000000002</v>
      </c>
      <c r="I60" s="208">
        <f t="shared" si="1"/>
        <v>83657.761920000004</v>
      </c>
      <c r="J60" s="86">
        <v>28</v>
      </c>
      <c r="K60" s="93">
        <v>3071.4285</v>
      </c>
      <c r="L60" s="88">
        <f t="shared" ref="L60" si="23">J60*K60</f>
        <v>85999.997999999992</v>
      </c>
      <c r="M60" s="88">
        <f t="shared" ref="M60" si="24">L60*1.22</f>
        <v>104919.99755999999</v>
      </c>
      <c r="N60" s="86">
        <v>28</v>
      </c>
      <c r="O60" s="88">
        <v>2860</v>
      </c>
      <c r="P60" s="88">
        <f>N60*O60</f>
        <v>80080</v>
      </c>
      <c r="Q60" s="88">
        <f>P60*1.22</f>
        <v>97697.599999999991</v>
      </c>
      <c r="R60" s="91">
        <v>2019</v>
      </c>
      <c r="S60" s="209">
        <f t="shared" si="6"/>
        <v>-14039.838079999987</v>
      </c>
      <c r="T60" s="106">
        <f t="shared" si="7"/>
        <v>6.8837187647376452E-2</v>
      </c>
      <c r="U60" s="101">
        <v>43441</v>
      </c>
      <c r="V60" s="102">
        <v>43455</v>
      </c>
      <c r="W60" s="108">
        <v>43531</v>
      </c>
      <c r="X60" s="101">
        <v>43546</v>
      </c>
      <c r="Y60" s="85" t="s">
        <v>1128</v>
      </c>
      <c r="Z60" s="91" t="s">
        <v>1130</v>
      </c>
      <c r="AA60" s="136" t="s">
        <v>1211</v>
      </c>
      <c r="AB60" s="91" t="s">
        <v>974</v>
      </c>
      <c r="AC60" s="101" t="s">
        <v>1213</v>
      </c>
      <c r="AD60" s="101" t="s">
        <v>1214</v>
      </c>
      <c r="AE60" s="91" t="s">
        <v>1209</v>
      </c>
      <c r="AF60" s="85" t="s">
        <v>1376</v>
      </c>
      <c r="AG60" s="91" t="s">
        <v>1210</v>
      </c>
      <c r="AH60" s="215" t="s">
        <v>8</v>
      </c>
      <c r="AI60" s="129" t="s">
        <v>1541</v>
      </c>
    </row>
    <row r="61" spans="1:35" s="42" customFormat="1" ht="24" x14ac:dyDescent="0.25">
      <c r="A61" s="441">
        <v>60</v>
      </c>
      <c r="B61" s="86" t="s">
        <v>8</v>
      </c>
      <c r="C61" s="87" t="s">
        <v>9</v>
      </c>
      <c r="D61" s="87" t="s">
        <v>12</v>
      </c>
      <c r="E61" s="87" t="s">
        <v>1238</v>
      </c>
      <c r="F61" s="86">
        <v>0</v>
      </c>
      <c r="G61" s="88">
        <v>3000</v>
      </c>
      <c r="H61" s="208">
        <f t="shared" ref="H61:H68" si="25">F61*G61</f>
        <v>0</v>
      </c>
      <c r="I61" s="208">
        <f t="shared" ref="I61:I68" si="26">H61*1.22</f>
        <v>0</v>
      </c>
      <c r="J61" s="132">
        <v>2</v>
      </c>
      <c r="K61" s="93">
        <v>3000</v>
      </c>
      <c r="L61" s="93">
        <f t="shared" ref="L61:L62" si="27">J61*K61</f>
        <v>6000</v>
      </c>
      <c r="M61" s="93">
        <f t="shared" ref="M61:M62" si="28">L61*1.22</f>
        <v>7320</v>
      </c>
      <c r="N61" s="132">
        <v>2</v>
      </c>
      <c r="O61" s="93">
        <v>3000</v>
      </c>
      <c r="P61" s="93">
        <f t="shared" ref="P61:P62" si="29">N61*O61</f>
        <v>6000</v>
      </c>
      <c r="Q61" s="93">
        <f t="shared" ref="Q61:Q62" si="30">P61*1.22</f>
        <v>7320</v>
      </c>
      <c r="R61" s="85">
        <v>2020</v>
      </c>
      <c r="S61" s="209">
        <f t="shared" ref="S61:S62" si="31">I61-Q61</f>
        <v>-7320</v>
      </c>
      <c r="T61" s="106">
        <f t="shared" ref="T61:T62" si="32">1-Q61/M61</f>
        <v>0</v>
      </c>
      <c r="U61" s="108">
        <v>43817</v>
      </c>
      <c r="V61" s="108">
        <v>43850</v>
      </c>
      <c r="W61" s="108"/>
      <c r="X61" s="108">
        <v>43868</v>
      </c>
      <c r="Y61" s="86" t="s">
        <v>1245</v>
      </c>
      <c r="Z61" s="91" t="s">
        <v>1247</v>
      </c>
      <c r="AA61" s="86" t="s">
        <v>1243</v>
      </c>
      <c r="AB61" s="86" t="s">
        <v>1246</v>
      </c>
      <c r="AC61" s="101">
        <v>43958</v>
      </c>
      <c r="AD61" s="101">
        <v>43958</v>
      </c>
      <c r="AE61" s="91" t="s">
        <v>1295</v>
      </c>
      <c r="AF61" s="85" t="s">
        <v>1376</v>
      </c>
      <c r="AG61" s="109" t="s">
        <v>1535</v>
      </c>
      <c r="AH61" s="215" t="s">
        <v>8</v>
      </c>
      <c r="AI61" s="129" t="s">
        <v>1543</v>
      </c>
    </row>
    <row r="62" spans="1:35" s="42" customFormat="1" ht="24" x14ac:dyDescent="0.25">
      <c r="A62" s="442"/>
      <c r="B62" s="86" t="s">
        <v>8</v>
      </c>
      <c r="C62" s="87" t="s">
        <v>9</v>
      </c>
      <c r="D62" s="87" t="s">
        <v>291</v>
      </c>
      <c r="E62" s="87" t="s">
        <v>1239</v>
      </c>
      <c r="F62" s="86">
        <v>0</v>
      </c>
      <c r="G62" s="88">
        <v>2700</v>
      </c>
      <c r="H62" s="208">
        <f t="shared" si="25"/>
        <v>0</v>
      </c>
      <c r="I62" s="208">
        <f t="shared" si="26"/>
        <v>0</v>
      </c>
      <c r="J62" s="132">
        <v>1</v>
      </c>
      <c r="K62" s="93">
        <v>2700</v>
      </c>
      <c r="L62" s="93">
        <f t="shared" si="27"/>
        <v>2700</v>
      </c>
      <c r="M62" s="93">
        <f t="shared" si="28"/>
        <v>3294</v>
      </c>
      <c r="N62" s="132">
        <v>1</v>
      </c>
      <c r="O62" s="93">
        <v>2700</v>
      </c>
      <c r="P62" s="93">
        <f t="shared" si="29"/>
        <v>2700</v>
      </c>
      <c r="Q62" s="93">
        <f t="shared" si="30"/>
        <v>3294</v>
      </c>
      <c r="R62" s="85">
        <v>2020</v>
      </c>
      <c r="S62" s="209">
        <f t="shared" si="31"/>
        <v>-3294</v>
      </c>
      <c r="T62" s="106">
        <f t="shared" si="32"/>
        <v>0</v>
      </c>
      <c r="U62" s="108">
        <v>43817</v>
      </c>
      <c r="V62" s="108">
        <v>43850</v>
      </c>
      <c r="W62" s="108"/>
      <c r="X62" s="108">
        <v>43868</v>
      </c>
      <c r="Y62" s="86" t="s">
        <v>1245</v>
      </c>
      <c r="Z62" s="91" t="s">
        <v>1247</v>
      </c>
      <c r="AA62" s="86" t="s">
        <v>1243</v>
      </c>
      <c r="AB62" s="86" t="s">
        <v>1246</v>
      </c>
      <c r="AC62" s="101">
        <v>43958</v>
      </c>
      <c r="AD62" s="101">
        <v>43958</v>
      </c>
      <c r="AE62" s="91" t="s">
        <v>1295</v>
      </c>
      <c r="AF62" s="85" t="s">
        <v>1376</v>
      </c>
      <c r="AG62" s="109" t="s">
        <v>1535</v>
      </c>
      <c r="AH62" s="215" t="s">
        <v>8</v>
      </c>
      <c r="AI62" s="129" t="s">
        <v>1543</v>
      </c>
    </row>
    <row r="63" spans="1:35" s="42" customFormat="1" ht="24" x14ac:dyDescent="0.25">
      <c r="A63" s="442"/>
      <c r="B63" s="86" t="s">
        <v>8</v>
      </c>
      <c r="C63" s="87" t="s">
        <v>9</v>
      </c>
      <c r="D63" s="87" t="s">
        <v>39</v>
      </c>
      <c r="E63" s="87" t="s">
        <v>1241</v>
      </c>
      <c r="F63" s="86">
        <v>0</v>
      </c>
      <c r="G63" s="88">
        <v>2700</v>
      </c>
      <c r="H63" s="208">
        <f>F63*G63</f>
        <v>0</v>
      </c>
      <c r="I63" s="208">
        <f>H63*1.22</f>
        <v>0</v>
      </c>
      <c r="J63" s="132">
        <v>1</v>
      </c>
      <c r="K63" s="93">
        <v>2700</v>
      </c>
      <c r="L63" s="93">
        <f>J63*K63</f>
        <v>2700</v>
      </c>
      <c r="M63" s="93">
        <f>L63*1.22</f>
        <v>3294</v>
      </c>
      <c r="N63" s="132">
        <v>1</v>
      </c>
      <c r="O63" s="93">
        <v>2700</v>
      </c>
      <c r="P63" s="93">
        <f t="shared" ref="P63" si="33">N63*O63</f>
        <v>2700</v>
      </c>
      <c r="Q63" s="93">
        <f t="shared" ref="Q63" si="34">P63*1.22</f>
        <v>3294</v>
      </c>
      <c r="R63" s="85">
        <v>2020</v>
      </c>
      <c r="S63" s="209">
        <f t="shared" ref="S63" si="35">I63-Q63</f>
        <v>-3294</v>
      </c>
      <c r="T63" s="106">
        <f t="shared" ref="T63" si="36">1-Q63/M63</f>
        <v>0</v>
      </c>
      <c r="U63" s="108">
        <v>43817</v>
      </c>
      <c r="V63" s="108">
        <v>43850</v>
      </c>
      <c r="W63" s="108"/>
      <c r="X63" s="108">
        <v>43868</v>
      </c>
      <c r="Y63" s="86" t="s">
        <v>1245</v>
      </c>
      <c r="Z63" s="91" t="s">
        <v>1247</v>
      </c>
      <c r="AA63" s="86" t="s">
        <v>1243</v>
      </c>
      <c r="AB63" s="86" t="s">
        <v>1246</v>
      </c>
      <c r="AC63" s="101">
        <v>43903</v>
      </c>
      <c r="AD63" s="101">
        <v>43903</v>
      </c>
      <c r="AE63" s="91" t="s">
        <v>1295</v>
      </c>
      <c r="AF63" s="85" t="s">
        <v>1376</v>
      </c>
      <c r="AG63" s="109" t="s">
        <v>1535</v>
      </c>
      <c r="AH63" s="215" t="s">
        <v>8</v>
      </c>
      <c r="AI63" s="129" t="s">
        <v>1543</v>
      </c>
    </row>
    <row r="64" spans="1:35" s="42" customFormat="1" ht="24" x14ac:dyDescent="0.25">
      <c r="A64" s="443"/>
      <c r="B64" s="86" t="s">
        <v>8</v>
      </c>
      <c r="C64" s="87" t="s">
        <v>9</v>
      </c>
      <c r="D64" s="87" t="s">
        <v>28</v>
      </c>
      <c r="E64" s="87" t="s">
        <v>1238</v>
      </c>
      <c r="F64" s="86">
        <v>0</v>
      </c>
      <c r="G64" s="88">
        <v>3000</v>
      </c>
      <c r="H64" s="208">
        <f>F64*G64</f>
        <v>0</v>
      </c>
      <c r="I64" s="208">
        <f>H64*1.22</f>
        <v>0</v>
      </c>
      <c r="J64" s="132">
        <v>2</v>
      </c>
      <c r="K64" s="93">
        <v>3000</v>
      </c>
      <c r="L64" s="93">
        <f t="shared" ref="L64" si="37">J64*K64</f>
        <v>6000</v>
      </c>
      <c r="M64" s="93">
        <f t="shared" ref="M64" si="38">L64*1.22</f>
        <v>7320</v>
      </c>
      <c r="N64" s="132">
        <v>2</v>
      </c>
      <c r="O64" s="93">
        <v>3000</v>
      </c>
      <c r="P64" s="93">
        <f t="shared" ref="P64" si="39">N64*O64</f>
        <v>6000</v>
      </c>
      <c r="Q64" s="93">
        <f t="shared" ref="Q64" si="40">P64*1.22</f>
        <v>7320</v>
      </c>
      <c r="R64" s="85">
        <v>2020</v>
      </c>
      <c r="S64" s="209">
        <f t="shared" ref="S64" si="41">I64-Q64</f>
        <v>-7320</v>
      </c>
      <c r="T64" s="106">
        <f t="shared" ref="T64" si="42">1-Q64/M64</f>
        <v>0</v>
      </c>
      <c r="U64" s="108">
        <v>43817</v>
      </c>
      <c r="V64" s="108">
        <v>43850</v>
      </c>
      <c r="W64" s="108"/>
      <c r="X64" s="108">
        <v>43868</v>
      </c>
      <c r="Y64" s="86" t="s">
        <v>1245</v>
      </c>
      <c r="Z64" s="91" t="s">
        <v>1247</v>
      </c>
      <c r="AA64" s="86" t="s">
        <v>1243</v>
      </c>
      <c r="AB64" s="86" t="s">
        <v>1246</v>
      </c>
      <c r="AC64" s="101">
        <v>43958</v>
      </c>
      <c r="AD64" s="101">
        <v>43958</v>
      </c>
      <c r="AE64" s="91" t="s">
        <v>1295</v>
      </c>
      <c r="AF64" s="85" t="s">
        <v>1376</v>
      </c>
      <c r="AG64" s="109" t="s">
        <v>1535</v>
      </c>
      <c r="AH64" s="215" t="s">
        <v>8</v>
      </c>
      <c r="AI64" s="129" t="s">
        <v>1543</v>
      </c>
    </row>
    <row r="65" spans="1:35" s="42" customFormat="1" ht="24" x14ac:dyDescent="0.25">
      <c r="A65" s="105">
        <v>61</v>
      </c>
      <c r="B65" s="86" t="s">
        <v>8</v>
      </c>
      <c r="C65" s="87" t="s">
        <v>9</v>
      </c>
      <c r="D65" s="87" t="s">
        <v>23</v>
      </c>
      <c r="E65" s="87" t="s">
        <v>37</v>
      </c>
      <c r="F65" s="86">
        <v>0</v>
      </c>
      <c r="G65" s="88">
        <v>13120</v>
      </c>
      <c r="H65" s="208">
        <f t="shared" si="25"/>
        <v>0</v>
      </c>
      <c r="I65" s="208">
        <f t="shared" si="26"/>
        <v>0</v>
      </c>
      <c r="J65" s="132">
        <v>1</v>
      </c>
      <c r="K65" s="93">
        <f>5338750/225</f>
        <v>23727.777777777777</v>
      </c>
      <c r="L65" s="93">
        <f t="shared" ref="L65:L68" si="43">J65*K65</f>
        <v>23727.777777777777</v>
      </c>
      <c r="M65" s="93">
        <f t="shared" ref="M65:M68" si="44">L65*1.22</f>
        <v>28947.888888888887</v>
      </c>
      <c r="N65" s="132">
        <v>1</v>
      </c>
      <c r="O65" s="93">
        <f>13120*0.99</f>
        <v>12988.8</v>
      </c>
      <c r="P65" s="93">
        <f t="shared" ref="P65:P67" si="45">N65*O65</f>
        <v>12988.8</v>
      </c>
      <c r="Q65" s="93">
        <f t="shared" ref="Q65:Q67" si="46">P65*1.22</f>
        <v>15846.335999999999</v>
      </c>
      <c r="R65" s="85">
        <v>2020</v>
      </c>
      <c r="S65" s="209">
        <f t="shared" ref="S65:S68" si="47">I65-Q65</f>
        <v>-15846.335999999999</v>
      </c>
      <c r="T65" s="106">
        <f t="shared" ref="T65:T68" si="48">1-Q65/M65</f>
        <v>0.45259096230391005</v>
      </c>
      <c r="U65" s="108">
        <v>43446</v>
      </c>
      <c r="V65" s="108">
        <v>43510</v>
      </c>
      <c r="W65" s="108">
        <v>43900</v>
      </c>
      <c r="X65" s="108">
        <v>43959</v>
      </c>
      <c r="Y65" s="86" t="s">
        <v>1234</v>
      </c>
      <c r="Z65" s="91" t="s">
        <v>1244</v>
      </c>
      <c r="AA65" s="86" t="s">
        <v>1236</v>
      </c>
      <c r="AB65" s="86" t="s">
        <v>1237</v>
      </c>
      <c r="AC65" s="101">
        <v>44081</v>
      </c>
      <c r="AD65" s="101">
        <v>44084</v>
      </c>
      <c r="AE65" s="91" t="s">
        <v>1277</v>
      </c>
      <c r="AF65" s="85" t="s">
        <v>1376</v>
      </c>
      <c r="AG65" s="109" t="s">
        <v>1287</v>
      </c>
      <c r="AH65" s="215" t="s">
        <v>8</v>
      </c>
      <c r="AI65" s="129" t="s">
        <v>1543</v>
      </c>
    </row>
    <row r="66" spans="1:35" s="42" customFormat="1" ht="24" x14ac:dyDescent="0.25">
      <c r="A66" s="157">
        <v>62</v>
      </c>
      <c r="B66" s="40" t="s">
        <v>8</v>
      </c>
      <c r="C66" s="39" t="s">
        <v>9</v>
      </c>
      <c r="D66" s="39" t="s">
        <v>23</v>
      </c>
      <c r="E66" s="39" t="s">
        <v>2019</v>
      </c>
      <c r="F66" s="40">
        <v>0</v>
      </c>
      <c r="G66" s="41">
        <v>3000</v>
      </c>
      <c r="H66" s="104">
        <f t="shared" si="25"/>
        <v>0</v>
      </c>
      <c r="I66" s="104">
        <f t="shared" si="26"/>
        <v>0</v>
      </c>
      <c r="J66" s="46">
        <v>1</v>
      </c>
      <c r="K66" s="7">
        <v>3000</v>
      </c>
      <c r="L66" s="7">
        <f t="shared" ref="L66" si="49">J66*K66</f>
        <v>3000</v>
      </c>
      <c r="M66" s="7">
        <f t="shared" ref="M66" si="50">L66*1.22</f>
        <v>3660</v>
      </c>
      <c r="N66" s="46">
        <v>1</v>
      </c>
      <c r="O66" s="7">
        <v>2984.1</v>
      </c>
      <c r="P66" s="7">
        <f>O66*1.22</f>
        <v>3640.6019999999999</v>
      </c>
      <c r="Q66" s="7">
        <f t="shared" si="46"/>
        <v>4441.5344399999994</v>
      </c>
      <c r="R66" s="38">
        <v>2023</v>
      </c>
      <c r="S66" s="154">
        <f t="shared" si="47"/>
        <v>-4441.5344399999994</v>
      </c>
      <c r="T66" s="50">
        <f t="shared" si="48"/>
        <v>-0.21353399999999989</v>
      </c>
      <c r="U66" s="57">
        <v>44853</v>
      </c>
      <c r="V66" s="57">
        <v>44868</v>
      </c>
      <c r="W66" s="57"/>
      <c r="X66" s="217">
        <v>44944</v>
      </c>
      <c r="Y66" s="40" t="s">
        <v>2066</v>
      </c>
      <c r="Z66" s="6"/>
      <c r="AA66" s="40" t="s">
        <v>2020</v>
      </c>
      <c r="AB66" s="40" t="s">
        <v>2067</v>
      </c>
      <c r="AC66" s="20"/>
      <c r="AD66" s="20"/>
      <c r="AE66" s="6"/>
      <c r="AF66" s="38"/>
      <c r="AG66" s="70"/>
      <c r="AH66" s="216" t="s">
        <v>8</v>
      </c>
      <c r="AI66" s="69" t="s">
        <v>2021</v>
      </c>
    </row>
    <row r="67" spans="1:35" s="42" customFormat="1" ht="24" x14ac:dyDescent="0.25">
      <c r="A67" s="105">
        <v>63</v>
      </c>
      <c r="B67" s="86" t="s">
        <v>8</v>
      </c>
      <c r="C67" s="87" t="s">
        <v>9</v>
      </c>
      <c r="D67" s="87" t="s">
        <v>1240</v>
      </c>
      <c r="E67" s="87" t="s">
        <v>37</v>
      </c>
      <c r="F67" s="86">
        <v>0</v>
      </c>
      <c r="G67" s="88">
        <v>13520</v>
      </c>
      <c r="H67" s="208">
        <f t="shared" si="25"/>
        <v>0</v>
      </c>
      <c r="I67" s="208">
        <f t="shared" si="26"/>
        <v>0</v>
      </c>
      <c r="J67" s="132">
        <v>1</v>
      </c>
      <c r="K67" s="93">
        <f>5338750/225</f>
        <v>23727.777777777777</v>
      </c>
      <c r="L67" s="93">
        <f t="shared" si="43"/>
        <v>23727.777777777777</v>
      </c>
      <c r="M67" s="93">
        <f t="shared" si="44"/>
        <v>28947.888888888887</v>
      </c>
      <c r="N67" s="132">
        <v>1</v>
      </c>
      <c r="O67" s="93">
        <f>13520*0.99</f>
        <v>13384.8</v>
      </c>
      <c r="P67" s="93">
        <f t="shared" si="45"/>
        <v>13384.8</v>
      </c>
      <c r="Q67" s="93">
        <f t="shared" si="46"/>
        <v>16329.455999999998</v>
      </c>
      <c r="R67" s="85">
        <v>2020</v>
      </c>
      <c r="S67" s="209">
        <f t="shared" si="47"/>
        <v>-16329.455999999998</v>
      </c>
      <c r="T67" s="106">
        <f t="shared" si="48"/>
        <v>0.43590166237415129</v>
      </c>
      <c r="U67" s="108">
        <v>43446</v>
      </c>
      <c r="V67" s="108">
        <v>43510</v>
      </c>
      <c r="W67" s="108">
        <v>43900</v>
      </c>
      <c r="X67" s="108">
        <v>43959</v>
      </c>
      <c r="Y67" s="86" t="s">
        <v>1234</v>
      </c>
      <c r="Z67" s="91" t="s">
        <v>1244</v>
      </c>
      <c r="AA67" s="86" t="s">
        <v>1236</v>
      </c>
      <c r="AB67" s="86" t="s">
        <v>1237</v>
      </c>
      <c r="AC67" s="101">
        <v>44081</v>
      </c>
      <c r="AD67" s="101">
        <v>44084</v>
      </c>
      <c r="AE67" s="91" t="s">
        <v>1277</v>
      </c>
      <c r="AF67" s="85" t="s">
        <v>1376</v>
      </c>
      <c r="AG67" s="109" t="s">
        <v>1287</v>
      </c>
      <c r="AH67" s="215" t="s">
        <v>8</v>
      </c>
      <c r="AI67" s="129" t="s">
        <v>1543</v>
      </c>
    </row>
    <row r="68" spans="1:35" s="42" customFormat="1" ht="24" x14ac:dyDescent="0.25">
      <c r="A68" s="157">
        <v>64</v>
      </c>
      <c r="B68" s="40" t="s">
        <v>8</v>
      </c>
      <c r="C68" s="39" t="s">
        <v>9</v>
      </c>
      <c r="D68" s="39" t="s">
        <v>34</v>
      </c>
      <c r="E68" s="39" t="s">
        <v>1242</v>
      </c>
      <c r="F68" s="40">
        <v>0</v>
      </c>
      <c r="G68" s="41">
        <v>25750</v>
      </c>
      <c r="H68" s="104">
        <f t="shared" si="25"/>
        <v>0</v>
      </c>
      <c r="I68" s="104">
        <f t="shared" si="26"/>
        <v>0</v>
      </c>
      <c r="J68" s="46">
        <v>1</v>
      </c>
      <c r="K68" s="7">
        <v>25750</v>
      </c>
      <c r="L68" s="7">
        <f t="shared" si="43"/>
        <v>25750</v>
      </c>
      <c r="M68" s="7">
        <f t="shared" si="44"/>
        <v>31415</v>
      </c>
      <c r="N68" s="46">
        <v>1</v>
      </c>
      <c r="O68" s="7">
        <v>24796.47</v>
      </c>
      <c r="P68" s="7">
        <f>N68*O68</f>
        <v>24796.47</v>
      </c>
      <c r="Q68" s="7">
        <v>30251.7</v>
      </c>
      <c r="R68" s="38">
        <v>2021</v>
      </c>
      <c r="S68" s="154">
        <f t="shared" si="47"/>
        <v>-30251.7</v>
      </c>
      <c r="T68" s="50">
        <f t="shared" si="48"/>
        <v>3.703008117141493E-2</v>
      </c>
      <c r="U68" s="57">
        <v>44292</v>
      </c>
      <c r="V68" s="57">
        <v>44302</v>
      </c>
      <c r="W68" s="57">
        <v>44308</v>
      </c>
      <c r="X68" s="57">
        <v>44323</v>
      </c>
      <c r="Y68" s="40" t="s">
        <v>1612</v>
      </c>
      <c r="Z68" s="6" t="s">
        <v>1613</v>
      </c>
      <c r="AA68" s="40" t="s">
        <v>1510</v>
      </c>
      <c r="AB68" s="40" t="s">
        <v>2059</v>
      </c>
      <c r="AC68" s="20">
        <v>44516</v>
      </c>
      <c r="AD68" s="20">
        <v>44517</v>
      </c>
      <c r="AE68" s="6" t="s">
        <v>1655</v>
      </c>
      <c r="AF68" s="38"/>
      <c r="AG68" s="70" t="s">
        <v>1660</v>
      </c>
      <c r="AH68" s="216" t="s">
        <v>8</v>
      </c>
      <c r="AI68" s="69" t="s">
        <v>1543</v>
      </c>
    </row>
    <row r="69" spans="1:35" x14ac:dyDescent="0.2">
      <c r="A69" s="203">
        <v>65</v>
      </c>
      <c r="B69" s="69" t="s">
        <v>8</v>
      </c>
      <c r="C69" s="73" t="s">
        <v>1275</v>
      </c>
      <c r="D69" s="73" t="s">
        <v>1231</v>
      </c>
      <c r="E69" s="73" t="s">
        <v>1276</v>
      </c>
      <c r="F69" s="69">
        <v>0</v>
      </c>
      <c r="G69" s="348">
        <f>1722.895-1400</f>
        <v>322.89499999999998</v>
      </c>
      <c r="H69" s="204">
        <f t="shared" ref="H69" si="51">F69*G69</f>
        <v>0</v>
      </c>
      <c r="I69" s="204">
        <f t="shared" ref="I69" si="52">H69*1.22</f>
        <v>0</v>
      </c>
      <c r="J69" s="58"/>
      <c r="K69" s="205"/>
      <c r="L69" s="205"/>
      <c r="M69" s="205"/>
      <c r="N69" s="58"/>
      <c r="O69" s="154"/>
      <c r="P69" s="154"/>
      <c r="Q69" s="154"/>
      <c r="R69" s="22"/>
      <c r="S69" s="154"/>
      <c r="T69" s="50"/>
      <c r="U69" s="155"/>
      <c r="V69" s="155"/>
      <c r="W69" s="155"/>
      <c r="X69" s="155"/>
      <c r="Y69" s="157"/>
      <c r="Z69" s="157"/>
      <c r="AA69" s="72"/>
      <c r="AB69" s="120"/>
      <c r="AC69" s="156"/>
      <c r="AD69" s="156"/>
      <c r="AE69" s="157"/>
      <c r="AF69" s="157"/>
      <c r="AG69" s="157"/>
      <c r="AH69" s="216" t="s">
        <v>8</v>
      </c>
      <c r="AI69" s="69" t="s">
        <v>1545</v>
      </c>
    </row>
    <row r="70" spans="1:35" ht="19.899999999999999" customHeight="1" x14ac:dyDescent="0.25">
      <c r="A70" s="444" t="s">
        <v>59</v>
      </c>
      <c r="B70" s="445"/>
      <c r="C70" s="445"/>
      <c r="D70" s="445"/>
      <c r="E70" s="445"/>
      <c r="F70" s="445"/>
      <c r="G70" s="445"/>
      <c r="H70" s="446"/>
      <c r="I70" s="24">
        <f>SUM(I2:I69)</f>
        <v>2200894.9180000001</v>
      </c>
      <c r="J70" s="25"/>
      <c r="K70" s="26"/>
      <c r="L70" s="26"/>
      <c r="M70" s="26"/>
      <c r="N70" s="194"/>
      <c r="O70" s="195"/>
      <c r="P70" s="195"/>
      <c r="Q70" s="175">
        <f>SUM(Q2:Q69)</f>
        <v>2198017.2951200008</v>
      </c>
      <c r="R70" s="174"/>
      <c r="S70" s="175">
        <f>SUM(S2:S69)</f>
        <v>2877.622879999999</v>
      </c>
      <c r="T70" s="51"/>
      <c r="U70" s="62"/>
      <c r="V70" s="62"/>
      <c r="W70" s="62"/>
      <c r="X70" s="62"/>
      <c r="Y70" s="26"/>
      <c r="Z70" s="26"/>
      <c r="AA70" s="26"/>
      <c r="AB70" s="21"/>
      <c r="AC70" s="111"/>
      <c r="AD70" s="111"/>
      <c r="AE70" s="27"/>
      <c r="AF70" s="27"/>
      <c r="AG70" s="27"/>
    </row>
    <row r="71" spans="1:35" x14ac:dyDescent="0.2">
      <c r="K71" s="184"/>
      <c r="L71" s="196"/>
      <c r="M71" s="196"/>
      <c r="N71" s="197"/>
      <c r="O71" s="115"/>
      <c r="P71" s="115"/>
      <c r="Q71" s="115"/>
    </row>
    <row r="72" spans="1:35" x14ac:dyDescent="0.25">
      <c r="A72" s="23"/>
      <c r="B72" s="28"/>
      <c r="C72" s="23"/>
      <c r="D72" s="23"/>
      <c r="E72" s="23"/>
      <c r="F72" s="28"/>
      <c r="G72" s="28"/>
      <c r="H72" s="28"/>
      <c r="I72" s="28"/>
      <c r="J72" s="28"/>
      <c r="K72" s="115"/>
      <c r="L72" s="198"/>
      <c r="M72" s="198"/>
      <c r="N72" s="198"/>
      <c r="O72" s="184"/>
      <c r="P72" s="198"/>
      <c r="AA72" s="28"/>
    </row>
    <row r="73" spans="1:35" x14ac:dyDescent="0.2">
      <c r="A73" s="23"/>
      <c r="B73" s="28"/>
      <c r="C73" s="23"/>
      <c r="D73" s="23"/>
      <c r="E73" s="23"/>
      <c r="F73" s="28"/>
      <c r="G73" s="28"/>
      <c r="H73" s="28"/>
      <c r="I73" s="28"/>
      <c r="S73" s="271"/>
      <c r="AA73" s="28"/>
    </row>
    <row r="76" spans="1:35" ht="15" x14ac:dyDescent="0.25">
      <c r="R76" s="272" t="s">
        <v>1631</v>
      </c>
      <c r="S76" s="273">
        <v>4659.75</v>
      </c>
    </row>
    <row r="77" spans="1:35" x14ac:dyDescent="0.2">
      <c r="R77" s="274" t="s">
        <v>1632</v>
      </c>
      <c r="S77" s="274">
        <f>S70-S76</f>
        <v>-1782.127120000001</v>
      </c>
    </row>
    <row r="78" spans="1:35" x14ac:dyDescent="0.2">
      <c r="R78" s="272"/>
      <c r="S78" s="274"/>
    </row>
    <row r="79" spans="1:35" x14ac:dyDescent="0.2">
      <c r="R79" s="272"/>
      <c r="S79" s="274">
        <f>S77+'Tecnologie 1'!S22</f>
        <v>79.512359999982436</v>
      </c>
    </row>
    <row r="80" spans="1:35" x14ac:dyDescent="0.2">
      <c r="R80" s="272" t="s">
        <v>1633</v>
      </c>
      <c r="S80" s="275">
        <f>S79/1.22</f>
        <v>65.174065573756096</v>
      </c>
    </row>
  </sheetData>
  <autoFilter ref="A1:AI73"/>
  <mergeCells count="10">
    <mergeCell ref="A61:A64"/>
    <mergeCell ref="A70:H70"/>
    <mergeCell ref="Y4:Y6"/>
    <mergeCell ref="Z4:Z6"/>
    <mergeCell ref="AA4:AA6"/>
    <mergeCell ref="AG4:AG6"/>
    <mergeCell ref="AC4:AC6"/>
    <mergeCell ref="AD4:AD6"/>
    <mergeCell ref="AB4:AB6"/>
    <mergeCell ref="AE4:AE6"/>
  </mergeCells>
  <phoneticPr fontId="0" type="noConversion"/>
  <printOptions horizontalCentered="1"/>
  <pageMargins left="0" right="0" top="0.39370078740157483" bottom="0.39370078740157483" header="0.23622047244094491" footer="0.23622047244094491"/>
  <pageSetup paperSize="9" scale="56" orientation="landscape" r:id="rId1"/>
  <headerFooter alignWithMargins="0">
    <oddHeader xml:space="preserve">&amp;CD.G.R. 402-1672/2015; 703/2016 - CUP D96G14002000001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1"/>
  <sheetViews>
    <sheetView topLeftCell="AA1" zoomScaleNormal="100" workbookViewId="0">
      <pane ySplit="2" topLeftCell="A3" activePane="bottomLeft" state="frozen"/>
      <selection pane="bottomLeft" activeCell="AI2" sqref="AI2"/>
    </sheetView>
  </sheetViews>
  <sheetFormatPr defaultColWidth="9.140625" defaultRowHeight="15" x14ac:dyDescent="0.25"/>
  <cols>
    <col min="1" max="1" width="4.28515625" style="77" bestFit="1" customWidth="1"/>
    <col min="2" max="2" width="7.140625" style="79" customWidth="1"/>
    <col min="3" max="3" width="15.5703125" style="80" customWidth="1"/>
    <col min="4" max="4" width="22.7109375" style="80" customWidth="1"/>
    <col min="5" max="5" width="49.7109375" style="80" bestFit="1" customWidth="1"/>
    <col min="6" max="6" width="10.140625" style="79" customWidth="1"/>
    <col min="7" max="7" width="20.7109375" style="81" customWidth="1"/>
    <col min="8" max="8" width="23.28515625" style="81" customWidth="1"/>
    <col min="9" max="9" width="22.7109375" style="81" customWidth="1"/>
    <col min="10" max="10" width="10.140625" style="81" customWidth="1"/>
    <col min="11" max="11" width="23.7109375" style="42" customWidth="1"/>
    <col min="12" max="13" width="18.42578125" style="77" customWidth="1"/>
    <col min="14" max="14" width="9.140625" style="77" customWidth="1"/>
    <col min="15" max="15" width="14.42578125" style="42" customWidth="1"/>
    <col min="16" max="16" width="13.28515625" style="42" customWidth="1"/>
    <col min="17" max="17" width="17" style="42" bestFit="1" customWidth="1"/>
    <col min="18" max="18" width="9.140625" style="77" customWidth="1"/>
    <col min="19" max="19" width="13.42578125" style="77" customWidth="1"/>
    <col min="20" max="20" width="10.140625" style="78" customWidth="1"/>
    <col min="21" max="21" width="15.140625" style="77" customWidth="1"/>
    <col min="22" max="22" width="12.7109375" style="77" customWidth="1"/>
    <col min="23" max="24" width="13.28515625" style="77" customWidth="1"/>
    <col min="25" max="25" width="28" style="79" customWidth="1"/>
    <col min="26" max="26" width="26.7109375" style="84" customWidth="1"/>
    <col min="27" max="27" width="17.5703125" style="79" customWidth="1"/>
    <col min="28" max="28" width="38.85546875" style="77" customWidth="1"/>
    <col min="29" max="29" width="25.5703125" style="79" customWidth="1"/>
    <col min="30" max="30" width="20.28515625" style="77" customWidth="1"/>
    <col min="31" max="31" width="30.85546875" style="117" customWidth="1"/>
    <col min="32" max="32" width="23.42578125" style="135" customWidth="1"/>
    <col min="33" max="33" width="20" style="77" customWidth="1"/>
    <col min="34" max="34" width="25.5703125" style="77" customWidth="1"/>
    <col min="35" max="35" width="26.5703125" style="77" customWidth="1"/>
    <col min="36" max="16384" width="9.140625" style="42"/>
  </cols>
  <sheetData>
    <row r="1" spans="1:35" s="3" customFormat="1" ht="36" x14ac:dyDescent="0.25">
      <c r="A1" s="18" t="s">
        <v>0</v>
      </c>
      <c r="B1" s="18" t="s">
        <v>1</v>
      </c>
      <c r="C1" s="18" t="s">
        <v>2</v>
      </c>
      <c r="D1" s="18" t="s">
        <v>3</v>
      </c>
      <c r="E1" s="18" t="s">
        <v>4</v>
      </c>
      <c r="F1" s="18" t="s">
        <v>5</v>
      </c>
      <c r="G1" s="18" t="s">
        <v>186</v>
      </c>
      <c r="H1" s="18" t="s">
        <v>92</v>
      </c>
      <c r="I1" s="18" t="s">
        <v>61</v>
      </c>
      <c r="J1" s="18" t="s">
        <v>5</v>
      </c>
      <c r="K1" s="18" t="s">
        <v>105</v>
      </c>
      <c r="L1" s="18" t="s">
        <v>92</v>
      </c>
      <c r="M1" s="18" t="s">
        <v>61</v>
      </c>
      <c r="N1" s="18" t="s">
        <v>5</v>
      </c>
      <c r="O1" s="18" t="s">
        <v>67</v>
      </c>
      <c r="P1" s="18" t="s">
        <v>6</v>
      </c>
      <c r="Q1" s="18" t="s">
        <v>7</v>
      </c>
      <c r="R1" s="18" t="s">
        <v>313</v>
      </c>
      <c r="S1" s="18" t="s">
        <v>93</v>
      </c>
      <c r="T1" s="18" t="s">
        <v>267</v>
      </c>
      <c r="U1" s="18" t="s">
        <v>106</v>
      </c>
      <c r="V1" s="18" t="s">
        <v>107</v>
      </c>
      <c r="W1" s="18" t="s">
        <v>108</v>
      </c>
      <c r="X1" s="18" t="s">
        <v>109</v>
      </c>
      <c r="Y1" s="18" t="s">
        <v>110</v>
      </c>
      <c r="Z1" s="18" t="s">
        <v>111</v>
      </c>
      <c r="AA1" s="18" t="s">
        <v>112</v>
      </c>
      <c r="AB1" s="18" t="s">
        <v>113</v>
      </c>
      <c r="AC1" s="18" t="s">
        <v>114</v>
      </c>
      <c r="AD1" s="18" t="s">
        <v>115</v>
      </c>
      <c r="AE1" s="18" t="s">
        <v>116</v>
      </c>
      <c r="AF1" s="18" t="s">
        <v>118</v>
      </c>
      <c r="AG1" s="18" t="s">
        <v>117</v>
      </c>
      <c r="AH1" s="18" t="s">
        <v>1544</v>
      </c>
      <c r="AI1" s="169" t="s">
        <v>1540</v>
      </c>
    </row>
    <row r="2" spans="1:35" ht="84" x14ac:dyDescent="0.25">
      <c r="A2" s="69">
        <v>1</v>
      </c>
      <c r="B2" s="69" t="s">
        <v>8</v>
      </c>
      <c r="C2" s="73" t="s">
        <v>925</v>
      </c>
      <c r="D2" s="73" t="s">
        <v>10</v>
      </c>
      <c r="E2" s="73" t="s">
        <v>11</v>
      </c>
      <c r="F2" s="69">
        <v>70</v>
      </c>
      <c r="G2" s="89">
        <v>2100</v>
      </c>
      <c r="H2" s="89">
        <f t="shared" ref="H2" si="0">F2*G2</f>
        <v>147000</v>
      </c>
      <c r="I2" s="89">
        <f t="shared" ref="I2" si="1">H2*1.22</f>
        <v>179340</v>
      </c>
      <c r="J2" s="40">
        <v>70</v>
      </c>
      <c r="K2" s="41">
        <v>2142.8571999999999</v>
      </c>
      <c r="L2" s="89">
        <f>J2*K2</f>
        <v>150000.00399999999</v>
      </c>
      <c r="M2" s="41">
        <f>L2*1.22</f>
        <v>183000.00487999999</v>
      </c>
      <c r="N2" s="38">
        <v>70</v>
      </c>
      <c r="O2" s="41">
        <f>P2/N2</f>
        <v>2142.7142857142858</v>
      </c>
      <c r="P2" s="89">
        <v>149990</v>
      </c>
      <c r="Q2" s="41">
        <f>P2*1.22</f>
        <v>182987.8</v>
      </c>
      <c r="R2" s="38">
        <v>2021</v>
      </c>
      <c r="S2" s="74">
        <f>I2-Q2</f>
        <v>-3647.7999999999884</v>
      </c>
      <c r="T2" s="53">
        <f>1-Q2/M2</f>
        <v>6.6693331554845692E-5</v>
      </c>
      <c r="U2" s="57">
        <v>44350</v>
      </c>
      <c r="V2" s="57">
        <v>44372</v>
      </c>
      <c r="W2" s="57">
        <v>44448</v>
      </c>
      <c r="X2" s="57">
        <v>44460</v>
      </c>
      <c r="Y2" s="38" t="s">
        <v>1640</v>
      </c>
      <c r="Z2" s="414" t="s">
        <v>2062</v>
      </c>
      <c r="AA2" s="38" t="s">
        <v>1610</v>
      </c>
      <c r="AB2" s="38" t="s">
        <v>1639</v>
      </c>
      <c r="AC2" s="40" t="s">
        <v>1737</v>
      </c>
      <c r="AD2" s="40" t="s">
        <v>1737</v>
      </c>
      <c r="AE2" s="430" t="s">
        <v>2063</v>
      </c>
      <c r="AF2" s="40" t="s">
        <v>1910</v>
      </c>
      <c r="AG2" s="38"/>
      <c r="AH2" s="89" t="s">
        <v>8</v>
      </c>
      <c r="AI2" s="6" t="s">
        <v>2023</v>
      </c>
    </row>
    <row r="3" spans="1:35" s="12" customFormat="1" ht="60" x14ac:dyDescent="0.25">
      <c r="A3" s="91">
        <v>2</v>
      </c>
      <c r="B3" s="91" t="s">
        <v>8</v>
      </c>
      <c r="C3" s="92" t="s">
        <v>9</v>
      </c>
      <c r="D3" s="92" t="s">
        <v>10</v>
      </c>
      <c r="E3" s="92" t="s">
        <v>37</v>
      </c>
      <c r="F3" s="91">
        <v>10</v>
      </c>
      <c r="G3" s="93">
        <v>15492.6</v>
      </c>
      <c r="H3" s="88">
        <f t="shared" ref="H3:H82" si="2">F3*G3</f>
        <v>154926</v>
      </c>
      <c r="I3" s="88">
        <f t="shared" ref="I3:I82" si="3">H3*1.22</f>
        <v>189009.72</v>
      </c>
      <c r="J3" s="91">
        <v>10</v>
      </c>
      <c r="K3" s="88">
        <v>46400</v>
      </c>
      <c r="L3" s="88">
        <f t="shared" ref="L3:L82" si="4">J3*K3</f>
        <v>464000</v>
      </c>
      <c r="M3" s="88">
        <f t="shared" ref="M3:M82" si="5">L3*1.22</f>
        <v>566080</v>
      </c>
      <c r="N3" s="86">
        <v>10</v>
      </c>
      <c r="O3" s="88">
        <v>15492.6</v>
      </c>
      <c r="P3" s="88">
        <v>154926</v>
      </c>
      <c r="Q3" s="88">
        <v>189009.72</v>
      </c>
      <c r="R3" s="85">
        <v>2016</v>
      </c>
      <c r="S3" s="74">
        <f t="shared" ref="S3:S63" si="6">I3-Q3</f>
        <v>0</v>
      </c>
      <c r="T3" s="53">
        <f t="shared" ref="T3:T63" si="7">1-Q3/M3</f>
        <v>0.66610775862068961</v>
      </c>
      <c r="U3" s="108">
        <v>42297</v>
      </c>
      <c r="V3" s="108">
        <v>42349</v>
      </c>
      <c r="W3" s="108">
        <v>42506</v>
      </c>
      <c r="X3" s="108">
        <v>42531</v>
      </c>
      <c r="Y3" s="86" t="s">
        <v>661</v>
      </c>
      <c r="Z3" s="218" t="s">
        <v>596</v>
      </c>
      <c r="AA3" s="86" t="s">
        <v>494</v>
      </c>
      <c r="AB3" s="85" t="s">
        <v>488</v>
      </c>
      <c r="AC3" s="110" t="s">
        <v>728</v>
      </c>
      <c r="AD3" s="110" t="s">
        <v>631</v>
      </c>
      <c r="AE3" s="86" t="s">
        <v>660</v>
      </c>
      <c r="AF3" s="86" t="s">
        <v>786</v>
      </c>
      <c r="AG3" s="86" t="s">
        <v>1553</v>
      </c>
      <c r="AH3" s="210" t="s">
        <v>8</v>
      </c>
      <c r="AI3" s="91" t="s">
        <v>1541</v>
      </c>
    </row>
    <row r="4" spans="1:35" s="12" customFormat="1" ht="24" x14ac:dyDescent="0.25">
      <c r="A4" s="91">
        <v>3</v>
      </c>
      <c r="B4" s="91" t="s">
        <v>8</v>
      </c>
      <c r="C4" s="92" t="s">
        <v>9</v>
      </c>
      <c r="D4" s="92" t="s">
        <v>194</v>
      </c>
      <c r="E4" s="92" t="s">
        <v>640</v>
      </c>
      <c r="F4" s="91">
        <v>1</v>
      </c>
      <c r="G4" s="93">
        <v>1896</v>
      </c>
      <c r="H4" s="88">
        <f t="shared" si="2"/>
        <v>1896</v>
      </c>
      <c r="I4" s="88">
        <f>H4*1.22</f>
        <v>2313.12</v>
      </c>
      <c r="J4" s="91">
        <v>1</v>
      </c>
      <c r="K4" s="88">
        <v>1900</v>
      </c>
      <c r="L4" s="88">
        <v>1896</v>
      </c>
      <c r="M4" s="88">
        <f>L4*1.22</f>
        <v>2313.12</v>
      </c>
      <c r="N4" s="86">
        <v>1</v>
      </c>
      <c r="O4" s="88">
        <v>1896</v>
      </c>
      <c r="P4" s="88">
        <v>1896</v>
      </c>
      <c r="Q4" s="88">
        <v>2313.12</v>
      </c>
      <c r="R4" s="85">
        <v>2017</v>
      </c>
      <c r="S4" s="74">
        <f t="shared" si="6"/>
        <v>0</v>
      </c>
      <c r="T4" s="53">
        <f t="shared" si="7"/>
        <v>0</v>
      </c>
      <c r="U4" s="108">
        <v>42846</v>
      </c>
      <c r="V4" s="108">
        <v>42860</v>
      </c>
      <c r="W4" s="108">
        <v>42860</v>
      </c>
      <c r="X4" s="108">
        <v>42865</v>
      </c>
      <c r="Y4" s="86" t="s">
        <v>708</v>
      </c>
      <c r="Z4" s="218" t="s">
        <v>709</v>
      </c>
      <c r="AA4" s="86" t="s">
        <v>707</v>
      </c>
      <c r="AB4" s="85" t="s">
        <v>726</v>
      </c>
      <c r="AC4" s="110">
        <v>42907</v>
      </c>
      <c r="AD4" s="110">
        <v>42943</v>
      </c>
      <c r="AE4" s="86" t="s">
        <v>783</v>
      </c>
      <c r="AF4" s="86" t="s">
        <v>790</v>
      </c>
      <c r="AG4" s="86" t="s">
        <v>1553</v>
      </c>
      <c r="AH4" s="210" t="s">
        <v>8</v>
      </c>
      <c r="AI4" s="91" t="s">
        <v>1541</v>
      </c>
    </row>
    <row r="5" spans="1:35" s="12" customFormat="1" ht="24" x14ac:dyDescent="0.25">
      <c r="A5" s="91">
        <v>4</v>
      </c>
      <c r="B5" s="91" t="s">
        <v>8</v>
      </c>
      <c r="C5" s="92" t="s">
        <v>9</v>
      </c>
      <c r="D5" s="92" t="s">
        <v>513</v>
      </c>
      <c r="E5" s="92" t="s">
        <v>195</v>
      </c>
      <c r="F5" s="91">
        <v>9</v>
      </c>
      <c r="G5" s="93">
        <v>2820.36</v>
      </c>
      <c r="H5" s="88">
        <f t="shared" si="2"/>
        <v>25383.24</v>
      </c>
      <c r="I5" s="88">
        <f>H5*1.22</f>
        <v>30967.552800000001</v>
      </c>
      <c r="J5" s="91">
        <v>9</v>
      </c>
      <c r="K5" s="88">
        <v>4000</v>
      </c>
      <c r="L5" s="88">
        <f>J5*K5</f>
        <v>36000</v>
      </c>
      <c r="M5" s="88">
        <f>L5*1.22</f>
        <v>43920</v>
      </c>
      <c r="N5" s="86">
        <v>9</v>
      </c>
      <c r="O5" s="88">
        <v>2820.36</v>
      </c>
      <c r="P5" s="88">
        <v>25383.24</v>
      </c>
      <c r="Q5" s="88">
        <v>30967.552800000001</v>
      </c>
      <c r="R5" s="85">
        <v>2017</v>
      </c>
      <c r="S5" s="74">
        <f t="shared" si="6"/>
        <v>0</v>
      </c>
      <c r="T5" s="53">
        <f t="shared" si="7"/>
        <v>0.29491000000000001</v>
      </c>
      <c r="U5" s="108">
        <v>42660</v>
      </c>
      <c r="V5" s="108">
        <v>42676</v>
      </c>
      <c r="W5" s="108">
        <v>42929</v>
      </c>
      <c r="X5" s="108">
        <v>43018</v>
      </c>
      <c r="Y5" s="86" t="s">
        <v>603</v>
      </c>
      <c r="Z5" s="218" t="s">
        <v>604</v>
      </c>
      <c r="AA5" s="86" t="s">
        <v>606</v>
      </c>
      <c r="AB5" s="85" t="s">
        <v>744</v>
      </c>
      <c r="AC5" s="110">
        <v>43069</v>
      </c>
      <c r="AD5" s="110">
        <v>43083</v>
      </c>
      <c r="AE5" s="86" t="s">
        <v>782</v>
      </c>
      <c r="AF5" s="86" t="s">
        <v>833</v>
      </c>
      <c r="AG5" s="86" t="s">
        <v>1553</v>
      </c>
      <c r="AH5" s="210" t="s">
        <v>8</v>
      </c>
      <c r="AI5" s="91" t="s">
        <v>1541</v>
      </c>
    </row>
    <row r="6" spans="1:35" s="12" customFormat="1" ht="24" x14ac:dyDescent="0.25">
      <c r="A6" s="91">
        <v>5</v>
      </c>
      <c r="B6" s="91" t="s">
        <v>8</v>
      </c>
      <c r="C6" s="92" t="s">
        <v>9</v>
      </c>
      <c r="D6" s="92" t="s">
        <v>75</v>
      </c>
      <c r="E6" s="92" t="s">
        <v>192</v>
      </c>
      <c r="F6" s="91">
        <v>1</v>
      </c>
      <c r="G6" s="93">
        <v>27342.02</v>
      </c>
      <c r="H6" s="88">
        <f t="shared" si="2"/>
        <v>27342.02</v>
      </c>
      <c r="I6" s="88">
        <f t="shared" si="3"/>
        <v>33357.2644</v>
      </c>
      <c r="J6" s="91">
        <v>1</v>
      </c>
      <c r="K6" s="88">
        <v>28000</v>
      </c>
      <c r="L6" s="88">
        <f>J6*K6</f>
        <v>28000</v>
      </c>
      <c r="M6" s="88">
        <f>L6*1.22</f>
        <v>34160</v>
      </c>
      <c r="N6" s="86">
        <v>1</v>
      </c>
      <c r="O6" s="88">
        <v>27342.02</v>
      </c>
      <c r="P6" s="88">
        <v>27342.02</v>
      </c>
      <c r="Q6" s="88">
        <v>33357.2644</v>
      </c>
      <c r="R6" s="85">
        <v>2017</v>
      </c>
      <c r="S6" s="74">
        <f t="shared" si="6"/>
        <v>0</v>
      </c>
      <c r="T6" s="53">
        <f t="shared" si="7"/>
        <v>2.3499285714285723E-2</v>
      </c>
      <c r="U6" s="108">
        <v>42698</v>
      </c>
      <c r="V6" s="108">
        <v>42711</v>
      </c>
      <c r="W6" s="108">
        <v>42789</v>
      </c>
      <c r="X6" s="108">
        <v>42816</v>
      </c>
      <c r="Y6" s="86" t="s">
        <v>703</v>
      </c>
      <c r="Z6" s="218" t="s">
        <v>704</v>
      </c>
      <c r="AA6" s="86" t="s">
        <v>664</v>
      </c>
      <c r="AB6" s="85" t="s">
        <v>663</v>
      </c>
      <c r="AC6" s="110" t="s">
        <v>724</v>
      </c>
      <c r="AD6" s="110">
        <v>42872</v>
      </c>
      <c r="AE6" s="86" t="s">
        <v>732</v>
      </c>
      <c r="AF6" s="86" t="s">
        <v>743</v>
      </c>
      <c r="AG6" s="86" t="s">
        <v>1553</v>
      </c>
      <c r="AH6" s="210" t="s">
        <v>8</v>
      </c>
      <c r="AI6" s="91" t="s">
        <v>1541</v>
      </c>
    </row>
    <row r="7" spans="1:35" s="12" customFormat="1" ht="36" x14ac:dyDescent="0.25">
      <c r="A7" s="91">
        <v>6</v>
      </c>
      <c r="B7" s="91" t="s">
        <v>8</v>
      </c>
      <c r="C7" s="92" t="s">
        <v>9</v>
      </c>
      <c r="D7" s="92" t="s">
        <v>75</v>
      </c>
      <c r="E7" s="92" t="s">
        <v>507</v>
      </c>
      <c r="F7" s="91">
        <v>2</v>
      </c>
      <c r="G7" s="93">
        <v>25000</v>
      </c>
      <c r="H7" s="88">
        <f t="shared" si="2"/>
        <v>50000</v>
      </c>
      <c r="I7" s="88">
        <f t="shared" si="3"/>
        <v>61000</v>
      </c>
      <c r="J7" s="91">
        <v>2</v>
      </c>
      <c r="K7" s="88">
        <v>25000</v>
      </c>
      <c r="L7" s="88">
        <f t="shared" si="4"/>
        <v>50000</v>
      </c>
      <c r="M7" s="88">
        <f t="shared" si="5"/>
        <v>61000</v>
      </c>
      <c r="N7" s="86">
        <v>2</v>
      </c>
      <c r="O7" s="88">
        <v>10500</v>
      </c>
      <c r="P7" s="88">
        <v>21000</v>
      </c>
      <c r="Q7" s="88">
        <v>25620</v>
      </c>
      <c r="R7" s="85">
        <v>2018</v>
      </c>
      <c r="S7" s="74">
        <f t="shared" si="6"/>
        <v>35380</v>
      </c>
      <c r="T7" s="53">
        <f t="shared" si="7"/>
        <v>0.58000000000000007</v>
      </c>
      <c r="U7" s="108">
        <v>43075</v>
      </c>
      <c r="V7" s="108">
        <v>43098</v>
      </c>
      <c r="W7" s="108">
        <v>43242</v>
      </c>
      <c r="X7" s="108">
        <v>43262</v>
      </c>
      <c r="Y7" s="86" t="s">
        <v>869</v>
      </c>
      <c r="Z7" s="218" t="s">
        <v>870</v>
      </c>
      <c r="AA7" s="86">
        <v>7308339820</v>
      </c>
      <c r="AB7" s="85" t="s">
        <v>871</v>
      </c>
      <c r="AC7" s="110" t="s">
        <v>1575</v>
      </c>
      <c r="AD7" s="110" t="s">
        <v>1576</v>
      </c>
      <c r="AE7" s="86" t="s">
        <v>1577</v>
      </c>
      <c r="AF7" s="86" t="s">
        <v>1595</v>
      </c>
      <c r="AG7" s="86" t="s">
        <v>1589</v>
      </c>
      <c r="AH7" s="210" t="s">
        <v>8</v>
      </c>
      <c r="AI7" s="91" t="s">
        <v>1541</v>
      </c>
    </row>
    <row r="8" spans="1:35" s="12" customFormat="1" ht="84" x14ac:dyDescent="0.25">
      <c r="A8" s="91">
        <v>7</v>
      </c>
      <c r="B8" s="91" t="s">
        <v>8</v>
      </c>
      <c r="C8" s="92" t="s">
        <v>9</v>
      </c>
      <c r="D8" s="92" t="s">
        <v>75</v>
      </c>
      <c r="E8" s="92" t="s">
        <v>538</v>
      </c>
      <c r="F8" s="91">
        <v>2</v>
      </c>
      <c r="G8" s="93">
        <v>32898.83</v>
      </c>
      <c r="H8" s="88">
        <f t="shared" si="2"/>
        <v>65797.66</v>
      </c>
      <c r="I8" s="88">
        <f t="shared" si="3"/>
        <v>80273.145199999999</v>
      </c>
      <c r="J8" s="91">
        <v>2</v>
      </c>
      <c r="K8" s="88">
        <v>66000</v>
      </c>
      <c r="L8" s="88">
        <f t="shared" si="4"/>
        <v>132000</v>
      </c>
      <c r="M8" s="88">
        <f>L8*1.22</f>
        <v>161040</v>
      </c>
      <c r="N8" s="86">
        <v>2</v>
      </c>
      <c r="O8" s="88">
        <v>32898.83</v>
      </c>
      <c r="P8" s="88">
        <v>65797.66</v>
      </c>
      <c r="Q8" s="88">
        <v>80273.145199999999</v>
      </c>
      <c r="R8" s="85">
        <v>2017</v>
      </c>
      <c r="S8" s="74">
        <f t="shared" si="6"/>
        <v>0</v>
      </c>
      <c r="T8" s="53">
        <f t="shared" si="7"/>
        <v>0.50153287878787878</v>
      </c>
      <c r="U8" s="108">
        <v>42671</v>
      </c>
      <c r="V8" s="108">
        <v>42704</v>
      </c>
      <c r="W8" s="108">
        <v>42809</v>
      </c>
      <c r="X8" s="108">
        <v>42829</v>
      </c>
      <c r="Y8" s="86">
        <v>42866</v>
      </c>
      <c r="Z8" s="218">
        <v>42866</v>
      </c>
      <c r="AA8" s="86" t="s">
        <v>610</v>
      </c>
      <c r="AB8" s="85" t="s">
        <v>665</v>
      </c>
      <c r="AC8" s="110" t="s">
        <v>785</v>
      </c>
      <c r="AD8" s="110" t="s">
        <v>784</v>
      </c>
      <c r="AE8" s="86" t="s">
        <v>781</v>
      </c>
      <c r="AF8" s="86" t="s">
        <v>830</v>
      </c>
      <c r="AG8" s="86" t="s">
        <v>1553</v>
      </c>
      <c r="AH8" s="210" t="s">
        <v>8</v>
      </c>
      <c r="AI8" s="91" t="s">
        <v>1541</v>
      </c>
    </row>
    <row r="9" spans="1:35" s="12" customFormat="1" ht="36" x14ac:dyDescent="0.25">
      <c r="A9" s="91">
        <v>8</v>
      </c>
      <c r="B9" s="91" t="s">
        <v>8</v>
      </c>
      <c r="C9" s="92" t="s">
        <v>9</v>
      </c>
      <c r="D9" s="92" t="s">
        <v>841</v>
      </c>
      <c r="E9" s="92" t="s">
        <v>842</v>
      </c>
      <c r="F9" s="91">
        <v>1</v>
      </c>
      <c r="G9" s="93">
        <v>150000</v>
      </c>
      <c r="H9" s="88">
        <f t="shared" si="2"/>
        <v>150000</v>
      </c>
      <c r="I9" s="88">
        <f t="shared" si="3"/>
        <v>183000</v>
      </c>
      <c r="J9" s="91">
        <v>1</v>
      </c>
      <c r="K9" s="88">
        <f>(8*13175)+5500+16200</f>
        <v>127100</v>
      </c>
      <c r="L9" s="88">
        <f t="shared" si="4"/>
        <v>127100</v>
      </c>
      <c r="M9" s="88">
        <f t="shared" si="5"/>
        <v>155062</v>
      </c>
      <c r="N9" s="86">
        <v>1</v>
      </c>
      <c r="O9" s="88">
        <f>(11875.25*8)+4892.89+22571.85</f>
        <v>122466.73999999999</v>
      </c>
      <c r="P9" s="88">
        <f>O9*N9</f>
        <v>122466.73999999999</v>
      </c>
      <c r="Q9" s="88">
        <f>P9</f>
        <v>122466.73999999999</v>
      </c>
      <c r="R9" s="85">
        <v>2020</v>
      </c>
      <c r="S9" s="74">
        <f t="shared" si="6"/>
        <v>60533.260000000009</v>
      </c>
      <c r="T9" s="53">
        <f t="shared" si="7"/>
        <v>0.21020791683326678</v>
      </c>
      <c r="U9" s="108">
        <v>43678</v>
      </c>
      <c r="V9" s="108">
        <v>43735</v>
      </c>
      <c r="W9" s="108">
        <v>44110</v>
      </c>
      <c r="X9" s="108">
        <v>44116</v>
      </c>
      <c r="Y9" s="86" t="s">
        <v>1448</v>
      </c>
      <c r="Z9" s="218" t="s">
        <v>1449</v>
      </c>
      <c r="AA9" s="86">
        <v>7970587079</v>
      </c>
      <c r="AB9" s="85" t="s">
        <v>1485</v>
      </c>
      <c r="AC9" s="110" t="s">
        <v>1450</v>
      </c>
      <c r="AD9" s="110">
        <v>44193</v>
      </c>
      <c r="AE9" s="86" t="s">
        <v>1481</v>
      </c>
      <c r="AF9" s="86" t="s">
        <v>1521</v>
      </c>
      <c r="AG9" s="86" t="s">
        <v>1589</v>
      </c>
      <c r="AH9" s="210" t="s">
        <v>1546</v>
      </c>
      <c r="AI9" s="91" t="s">
        <v>1541</v>
      </c>
    </row>
    <row r="10" spans="1:35" s="12" customFormat="1" ht="24" x14ac:dyDescent="0.25">
      <c r="A10" s="91">
        <v>9</v>
      </c>
      <c r="B10" s="91" t="s">
        <v>8</v>
      </c>
      <c r="C10" s="92" t="s">
        <v>9</v>
      </c>
      <c r="D10" s="92" t="s">
        <v>196</v>
      </c>
      <c r="E10" s="92" t="s">
        <v>639</v>
      </c>
      <c r="F10" s="91">
        <v>1</v>
      </c>
      <c r="G10" s="93">
        <v>3499</v>
      </c>
      <c r="H10" s="88">
        <f t="shared" si="2"/>
        <v>3499</v>
      </c>
      <c r="I10" s="88">
        <f t="shared" si="3"/>
        <v>4268.78</v>
      </c>
      <c r="J10" s="91">
        <v>1</v>
      </c>
      <c r="K10" s="88">
        <v>3500</v>
      </c>
      <c r="L10" s="88">
        <f t="shared" si="4"/>
        <v>3500</v>
      </c>
      <c r="M10" s="88">
        <f t="shared" si="5"/>
        <v>4270</v>
      </c>
      <c r="N10" s="86">
        <v>1</v>
      </c>
      <c r="O10" s="88">
        <v>3499</v>
      </c>
      <c r="P10" s="88">
        <v>3499</v>
      </c>
      <c r="Q10" s="88">
        <v>4268.78</v>
      </c>
      <c r="R10" s="85">
        <v>2017</v>
      </c>
      <c r="S10" s="74">
        <f t="shared" si="6"/>
        <v>0</v>
      </c>
      <c r="T10" s="53">
        <f t="shared" si="7"/>
        <v>2.8571428571433355E-4</v>
      </c>
      <c r="U10" s="108">
        <v>42818</v>
      </c>
      <c r="V10" s="108">
        <v>42835</v>
      </c>
      <c r="W10" s="108">
        <v>42835</v>
      </c>
      <c r="X10" s="108">
        <v>42843</v>
      </c>
      <c r="Y10" s="86" t="s">
        <v>705</v>
      </c>
      <c r="Z10" s="218" t="s">
        <v>706</v>
      </c>
      <c r="AA10" s="86" t="s">
        <v>680</v>
      </c>
      <c r="AB10" s="85" t="s">
        <v>121</v>
      </c>
      <c r="AC10" s="110">
        <v>42872</v>
      </c>
      <c r="AD10" s="110">
        <v>42872</v>
      </c>
      <c r="AE10" s="86" t="s">
        <v>730</v>
      </c>
      <c r="AF10" s="86" t="s">
        <v>741</v>
      </c>
      <c r="AG10" s="86" t="s">
        <v>1553</v>
      </c>
      <c r="AH10" s="210" t="s">
        <v>8</v>
      </c>
      <c r="AI10" s="91" t="s">
        <v>1541</v>
      </c>
    </row>
    <row r="11" spans="1:35" s="12" customFormat="1" ht="24" x14ac:dyDescent="0.25">
      <c r="A11" s="91">
        <v>10</v>
      </c>
      <c r="B11" s="91" t="s">
        <v>8</v>
      </c>
      <c r="C11" s="92" t="s">
        <v>9</v>
      </c>
      <c r="D11" s="92" t="s">
        <v>1629</v>
      </c>
      <c r="E11" s="92" t="s">
        <v>15</v>
      </c>
      <c r="F11" s="91">
        <v>4</v>
      </c>
      <c r="G11" s="93">
        <v>4000</v>
      </c>
      <c r="H11" s="88">
        <f t="shared" si="2"/>
        <v>16000</v>
      </c>
      <c r="I11" s="88">
        <f t="shared" si="3"/>
        <v>19520</v>
      </c>
      <c r="J11" s="91">
        <v>5</v>
      </c>
      <c r="K11" s="88">
        <v>4868.75</v>
      </c>
      <c r="L11" s="88">
        <f t="shared" si="4"/>
        <v>24343.75</v>
      </c>
      <c r="M11" s="88">
        <f t="shared" si="5"/>
        <v>29699.375</v>
      </c>
      <c r="N11" s="86">
        <v>5</v>
      </c>
      <c r="O11" s="88">
        <f>P11/N11</f>
        <v>3555.7</v>
      </c>
      <c r="P11" s="88">
        <v>17778.5</v>
      </c>
      <c r="Q11" s="88">
        <f>P11</f>
        <v>17778.5</v>
      </c>
      <c r="R11" s="85">
        <v>2020</v>
      </c>
      <c r="S11" s="74">
        <f t="shared" si="6"/>
        <v>1741.5</v>
      </c>
      <c r="T11" s="53">
        <f t="shared" si="7"/>
        <v>0.40138470927418501</v>
      </c>
      <c r="U11" s="108">
        <v>43678</v>
      </c>
      <c r="V11" s="108">
        <v>43735</v>
      </c>
      <c r="W11" s="108">
        <v>44110</v>
      </c>
      <c r="X11" s="108">
        <v>44116</v>
      </c>
      <c r="Y11" s="86" t="s">
        <v>1448</v>
      </c>
      <c r="Z11" s="218" t="s">
        <v>1456</v>
      </c>
      <c r="AA11" s="86">
        <v>7970571344</v>
      </c>
      <c r="AB11" s="85" t="s">
        <v>1485</v>
      </c>
      <c r="AC11" s="110" t="s">
        <v>1457</v>
      </c>
      <c r="AD11" s="110">
        <v>43845</v>
      </c>
      <c r="AE11" s="86" t="s">
        <v>1481</v>
      </c>
      <c r="AF11" s="86" t="s">
        <v>1521</v>
      </c>
      <c r="AG11" s="86" t="s">
        <v>1589</v>
      </c>
      <c r="AH11" s="210" t="s">
        <v>1546</v>
      </c>
      <c r="AI11" s="91" t="s">
        <v>1541</v>
      </c>
    </row>
    <row r="12" spans="1:35" s="12" customFormat="1" ht="24" x14ac:dyDescent="0.25">
      <c r="A12" s="91">
        <v>11</v>
      </c>
      <c r="B12" s="91" t="s">
        <v>8</v>
      </c>
      <c r="C12" s="92" t="s">
        <v>9</v>
      </c>
      <c r="D12" s="92" t="s">
        <v>682</v>
      </c>
      <c r="E12" s="92" t="s">
        <v>637</v>
      </c>
      <c r="F12" s="91">
        <v>1</v>
      </c>
      <c r="G12" s="93">
        <v>3430</v>
      </c>
      <c r="H12" s="88">
        <f t="shared" si="2"/>
        <v>3430</v>
      </c>
      <c r="I12" s="88">
        <f>H12*1.22</f>
        <v>4184.5999999999995</v>
      </c>
      <c r="J12" s="91">
        <v>1</v>
      </c>
      <c r="K12" s="88">
        <v>3500</v>
      </c>
      <c r="L12" s="88">
        <f>J12*K12</f>
        <v>3500</v>
      </c>
      <c r="M12" s="88">
        <f>L12*1.22</f>
        <v>4270</v>
      </c>
      <c r="N12" s="86">
        <v>1</v>
      </c>
      <c r="O12" s="88">
        <v>3430</v>
      </c>
      <c r="P12" s="88">
        <v>3430</v>
      </c>
      <c r="Q12" s="88">
        <v>4184.5999999999995</v>
      </c>
      <c r="R12" s="85">
        <v>2017</v>
      </c>
      <c r="S12" s="74">
        <f t="shared" si="6"/>
        <v>0</v>
      </c>
      <c r="T12" s="53">
        <f t="shared" si="7"/>
        <v>2.0000000000000129E-2</v>
      </c>
      <c r="U12" s="108">
        <v>42818</v>
      </c>
      <c r="V12" s="108">
        <v>42835</v>
      </c>
      <c r="W12" s="108">
        <v>42835</v>
      </c>
      <c r="X12" s="108">
        <v>42843</v>
      </c>
      <c r="Y12" s="86" t="s">
        <v>705</v>
      </c>
      <c r="Z12" s="218" t="s">
        <v>706</v>
      </c>
      <c r="AA12" s="86" t="s">
        <v>681</v>
      </c>
      <c r="AB12" s="85" t="s">
        <v>121</v>
      </c>
      <c r="AC12" s="110">
        <v>42870</v>
      </c>
      <c r="AD12" s="110">
        <v>42936</v>
      </c>
      <c r="AE12" s="86" t="s">
        <v>715</v>
      </c>
      <c r="AF12" s="86" t="s">
        <v>738</v>
      </c>
      <c r="AG12" s="86" t="s">
        <v>1553</v>
      </c>
      <c r="AH12" s="210" t="s">
        <v>8</v>
      </c>
      <c r="AI12" s="91" t="s">
        <v>1541</v>
      </c>
    </row>
    <row r="13" spans="1:35" s="12" customFormat="1" ht="24" x14ac:dyDescent="0.25">
      <c r="A13" s="91">
        <v>12</v>
      </c>
      <c r="B13" s="91" t="s">
        <v>8</v>
      </c>
      <c r="C13" s="92" t="s">
        <v>9</v>
      </c>
      <c r="D13" s="92" t="s">
        <v>682</v>
      </c>
      <c r="E13" s="92" t="s">
        <v>637</v>
      </c>
      <c r="F13" s="91">
        <v>1</v>
      </c>
      <c r="G13" s="93">
        <v>2800</v>
      </c>
      <c r="H13" s="88">
        <f t="shared" si="2"/>
        <v>2800</v>
      </c>
      <c r="I13" s="88">
        <f>H13*1.22</f>
        <v>3416</v>
      </c>
      <c r="J13" s="91">
        <v>1</v>
      </c>
      <c r="K13" s="88">
        <v>3000</v>
      </c>
      <c r="L13" s="88">
        <f>J13*K13</f>
        <v>3000</v>
      </c>
      <c r="M13" s="88">
        <f>L13*1.22</f>
        <v>3660</v>
      </c>
      <c r="N13" s="86">
        <v>1</v>
      </c>
      <c r="O13" s="88">
        <v>2800</v>
      </c>
      <c r="P13" s="88">
        <v>2800</v>
      </c>
      <c r="Q13" s="88">
        <v>3416</v>
      </c>
      <c r="R13" s="85">
        <v>2017</v>
      </c>
      <c r="S13" s="74">
        <f t="shared" si="6"/>
        <v>0</v>
      </c>
      <c r="T13" s="53">
        <f t="shared" si="7"/>
        <v>6.6666666666666652E-2</v>
      </c>
      <c r="U13" s="108">
        <v>43046</v>
      </c>
      <c r="V13" s="108">
        <v>43060</v>
      </c>
      <c r="W13" s="108">
        <v>43060</v>
      </c>
      <c r="X13" s="108">
        <v>43072</v>
      </c>
      <c r="Y13" s="86" t="s">
        <v>756</v>
      </c>
      <c r="Z13" s="218" t="s">
        <v>757</v>
      </c>
      <c r="AA13" s="86" t="s">
        <v>787</v>
      </c>
      <c r="AB13" s="85" t="s">
        <v>121</v>
      </c>
      <c r="AC13" s="110">
        <v>43084</v>
      </c>
      <c r="AD13" s="110">
        <v>43115</v>
      </c>
      <c r="AE13" s="86" t="s">
        <v>788</v>
      </c>
      <c r="AF13" s="86" t="s">
        <v>832</v>
      </c>
      <c r="AG13" s="86" t="s">
        <v>1553</v>
      </c>
      <c r="AH13" s="210" t="s">
        <v>8</v>
      </c>
      <c r="AI13" s="91" t="s">
        <v>1541</v>
      </c>
    </row>
    <row r="14" spans="1:35" x14ac:dyDescent="0.25">
      <c r="A14" s="38">
        <v>13</v>
      </c>
      <c r="B14" s="40" t="s">
        <v>8</v>
      </c>
      <c r="C14" s="39" t="s">
        <v>9</v>
      </c>
      <c r="D14" s="39" t="s">
        <v>834</v>
      </c>
      <c r="E14" s="5" t="s">
        <v>65</v>
      </c>
      <c r="F14" s="40">
        <v>1</v>
      </c>
      <c r="G14" s="41">
        <v>8000</v>
      </c>
      <c r="H14" s="41">
        <f t="shared" si="2"/>
        <v>8000</v>
      </c>
      <c r="I14" s="41">
        <f>H14*1.22</f>
        <v>9760</v>
      </c>
      <c r="J14" s="139"/>
      <c r="K14" s="74"/>
      <c r="L14" s="41">
        <f t="shared" ref="L14:L16" si="8">J14*K14</f>
        <v>0</v>
      </c>
      <c r="M14" s="41"/>
      <c r="N14" s="38"/>
      <c r="O14" s="68"/>
      <c r="P14" s="41">
        <v>0</v>
      </c>
      <c r="Q14" s="41">
        <v>0</v>
      </c>
      <c r="R14" s="38"/>
      <c r="S14" s="74">
        <f t="shared" si="6"/>
        <v>9760</v>
      </c>
      <c r="T14" s="53" t="e">
        <f t="shared" si="7"/>
        <v>#DIV/0!</v>
      </c>
      <c r="U14" s="38"/>
      <c r="V14" s="38"/>
      <c r="W14" s="38"/>
      <c r="X14" s="38"/>
      <c r="Y14" s="40"/>
      <c r="Z14" s="113"/>
      <c r="AA14" s="40"/>
      <c r="AB14" s="38"/>
      <c r="AC14" s="40"/>
      <c r="AD14" s="38"/>
      <c r="AE14" s="118"/>
      <c r="AF14" s="134"/>
      <c r="AG14" s="38"/>
      <c r="AH14" s="89" t="s">
        <v>8</v>
      </c>
      <c r="AI14" s="6" t="s">
        <v>1547</v>
      </c>
    </row>
    <row r="15" spans="1:35" s="12" customFormat="1" ht="24" x14ac:dyDescent="0.25">
      <c r="A15" s="91">
        <v>14</v>
      </c>
      <c r="B15" s="91" t="s">
        <v>8</v>
      </c>
      <c r="C15" s="92" t="s">
        <v>9</v>
      </c>
      <c r="D15" s="92" t="s">
        <v>1265</v>
      </c>
      <c r="E15" s="92" t="s">
        <v>31</v>
      </c>
      <c r="F15" s="91">
        <v>2</v>
      </c>
      <c r="G15" s="93">
        <v>22000</v>
      </c>
      <c r="H15" s="88">
        <f t="shared" si="2"/>
        <v>44000</v>
      </c>
      <c r="I15" s="88">
        <f t="shared" ref="I15" si="9">H15*1.22</f>
        <v>53680</v>
      </c>
      <c r="J15" s="91">
        <v>2</v>
      </c>
      <c r="K15" s="88">
        <v>28500</v>
      </c>
      <c r="L15" s="88">
        <f t="shared" si="8"/>
        <v>57000</v>
      </c>
      <c r="M15" s="88">
        <f>L15*1.22</f>
        <v>69540</v>
      </c>
      <c r="N15" s="86">
        <v>2</v>
      </c>
      <c r="O15" s="88">
        <v>27730</v>
      </c>
      <c r="P15" s="88">
        <f>N15*O15</f>
        <v>55460</v>
      </c>
      <c r="Q15" s="88">
        <f>P15*1.22</f>
        <v>67661.2</v>
      </c>
      <c r="R15" s="85">
        <v>2021</v>
      </c>
      <c r="S15" s="74">
        <f t="shared" si="6"/>
        <v>-13981.199999999997</v>
      </c>
      <c r="T15" s="53">
        <f t="shared" si="7"/>
        <v>2.7017543859649162E-2</v>
      </c>
      <c r="U15" s="108">
        <v>44116</v>
      </c>
      <c r="V15" s="108">
        <v>44132</v>
      </c>
      <c r="W15" s="108">
        <v>44230</v>
      </c>
      <c r="X15" s="108">
        <v>43876</v>
      </c>
      <c r="Y15" s="86" t="s">
        <v>1504</v>
      </c>
      <c r="Z15" s="218" t="s">
        <v>1505</v>
      </c>
      <c r="AA15" s="86" t="s">
        <v>1267</v>
      </c>
      <c r="AB15" s="85" t="s">
        <v>1484</v>
      </c>
      <c r="AC15" s="110">
        <v>44320</v>
      </c>
      <c r="AD15" s="110">
        <v>44320</v>
      </c>
      <c r="AE15" s="86" t="s">
        <v>1584</v>
      </c>
      <c r="AF15" s="86" t="s">
        <v>1605</v>
      </c>
      <c r="AG15" s="86" t="s">
        <v>1589</v>
      </c>
      <c r="AH15" s="210" t="s">
        <v>8</v>
      </c>
      <c r="AI15" s="91" t="s">
        <v>1585</v>
      </c>
    </row>
    <row r="16" spans="1:35" s="12" customFormat="1" ht="24" x14ac:dyDescent="0.25">
      <c r="A16" s="91">
        <v>15</v>
      </c>
      <c r="B16" s="91" t="s">
        <v>8</v>
      </c>
      <c r="C16" s="92" t="s">
        <v>9</v>
      </c>
      <c r="D16" s="92" t="s">
        <v>843</v>
      </c>
      <c r="E16" s="92" t="s">
        <v>842</v>
      </c>
      <c r="F16" s="91">
        <v>1</v>
      </c>
      <c r="G16" s="93">
        <v>70000</v>
      </c>
      <c r="H16" s="88">
        <f t="shared" si="2"/>
        <v>70000</v>
      </c>
      <c r="I16" s="88">
        <f t="shared" si="3"/>
        <v>85400</v>
      </c>
      <c r="J16" s="91">
        <v>1</v>
      </c>
      <c r="K16" s="88">
        <f>16200+(4868.75*10)</f>
        <v>64887.5</v>
      </c>
      <c r="L16" s="88">
        <f t="shared" si="8"/>
        <v>64887.5</v>
      </c>
      <c r="M16" s="88">
        <f t="shared" si="5"/>
        <v>79162.75</v>
      </c>
      <c r="N16" s="86">
        <v>1</v>
      </c>
      <c r="O16" s="88">
        <v>78002.41</v>
      </c>
      <c r="P16" s="88">
        <f>O16*N16</f>
        <v>78002.41</v>
      </c>
      <c r="Q16" s="88">
        <f>P16</f>
        <v>78002.41</v>
      </c>
      <c r="R16" s="85">
        <v>2020</v>
      </c>
      <c r="S16" s="74">
        <f t="shared" si="6"/>
        <v>7397.5899999999965</v>
      </c>
      <c r="T16" s="53">
        <f t="shared" si="7"/>
        <v>1.4657651483810152E-2</v>
      </c>
      <c r="U16" s="108">
        <v>43678</v>
      </c>
      <c r="V16" s="108">
        <v>43735</v>
      </c>
      <c r="W16" s="108">
        <v>44110</v>
      </c>
      <c r="X16" s="108">
        <v>44116</v>
      </c>
      <c r="Y16" s="86" t="s">
        <v>1448</v>
      </c>
      <c r="Z16" s="218" t="s">
        <v>1456</v>
      </c>
      <c r="AA16" s="86">
        <v>7970571344</v>
      </c>
      <c r="AB16" s="85" t="s">
        <v>1485</v>
      </c>
      <c r="AC16" s="110" t="s">
        <v>1457</v>
      </c>
      <c r="AD16" s="110">
        <v>43845</v>
      </c>
      <c r="AE16" s="86" t="s">
        <v>1481</v>
      </c>
      <c r="AF16" s="86" t="s">
        <v>1521</v>
      </c>
      <c r="AG16" s="86" t="s">
        <v>1589</v>
      </c>
      <c r="AH16" s="210" t="s">
        <v>1546</v>
      </c>
      <c r="AI16" s="91" t="s">
        <v>1541</v>
      </c>
    </row>
    <row r="17" spans="1:35" s="12" customFormat="1" ht="24" x14ac:dyDescent="0.25">
      <c r="A17" s="91" t="s">
        <v>857</v>
      </c>
      <c r="B17" s="91" t="s">
        <v>8</v>
      </c>
      <c r="C17" s="92" t="s">
        <v>9</v>
      </c>
      <c r="D17" s="92" t="s">
        <v>751</v>
      </c>
      <c r="E17" s="92" t="s">
        <v>844</v>
      </c>
      <c r="F17" s="91">
        <v>1</v>
      </c>
      <c r="G17" s="93">
        <f>(9000+16247.5)/2</f>
        <v>12623.75</v>
      </c>
      <c r="H17" s="88">
        <f t="shared" si="2"/>
        <v>12623.75</v>
      </c>
      <c r="I17" s="88">
        <f>H17*1.22</f>
        <v>15400.975</v>
      </c>
      <c r="J17" s="91">
        <v>1</v>
      </c>
      <c r="K17" s="88">
        <v>12500</v>
      </c>
      <c r="L17" s="88">
        <f t="shared" ref="L17" si="10">J17*K17</f>
        <v>12500</v>
      </c>
      <c r="M17" s="88">
        <f t="shared" ref="M17" si="11">L17*1.22</f>
        <v>15250</v>
      </c>
      <c r="N17" s="86">
        <v>1</v>
      </c>
      <c r="O17" s="88">
        <v>9000</v>
      </c>
      <c r="P17" s="88">
        <v>9000</v>
      </c>
      <c r="Q17" s="88">
        <v>10980</v>
      </c>
      <c r="R17" s="85">
        <v>2018</v>
      </c>
      <c r="S17" s="74">
        <f t="shared" si="6"/>
        <v>4420.9750000000004</v>
      </c>
      <c r="T17" s="53">
        <f t="shared" si="7"/>
        <v>0.28000000000000003</v>
      </c>
      <c r="U17" s="108">
        <v>43158</v>
      </c>
      <c r="V17" s="108">
        <v>43174</v>
      </c>
      <c r="W17" s="108">
        <v>43206</v>
      </c>
      <c r="X17" s="108">
        <v>43222</v>
      </c>
      <c r="Y17" s="86" t="s">
        <v>858</v>
      </c>
      <c r="Z17" s="218" t="s">
        <v>859</v>
      </c>
      <c r="AA17" s="86" t="s">
        <v>824</v>
      </c>
      <c r="AB17" s="85" t="s">
        <v>860</v>
      </c>
      <c r="AC17" s="110" t="s">
        <v>862</v>
      </c>
      <c r="AD17" s="110">
        <v>43278</v>
      </c>
      <c r="AE17" s="86" t="s">
        <v>926</v>
      </c>
      <c r="AF17" s="86" t="s">
        <v>952</v>
      </c>
      <c r="AG17" s="86" t="s">
        <v>1553</v>
      </c>
      <c r="AH17" s="210" t="s">
        <v>8</v>
      </c>
      <c r="AI17" s="91" t="s">
        <v>1541</v>
      </c>
    </row>
    <row r="18" spans="1:35" s="12" customFormat="1" ht="21.75" customHeight="1" x14ac:dyDescent="0.25">
      <c r="A18" s="91" t="s">
        <v>863</v>
      </c>
      <c r="B18" s="91" t="s">
        <v>8</v>
      </c>
      <c r="C18" s="92" t="s">
        <v>9</v>
      </c>
      <c r="D18" s="92" t="s">
        <v>751</v>
      </c>
      <c r="E18" s="92" t="s">
        <v>844</v>
      </c>
      <c r="F18" s="91">
        <v>1</v>
      </c>
      <c r="G18" s="93">
        <f>(9000+16247.5)/2</f>
        <v>12623.75</v>
      </c>
      <c r="H18" s="88">
        <f t="shared" ref="H18" si="12">F18*G18</f>
        <v>12623.75</v>
      </c>
      <c r="I18" s="88">
        <f>H18*1.22</f>
        <v>15400.975</v>
      </c>
      <c r="J18" s="91">
        <v>1</v>
      </c>
      <c r="K18" s="88">
        <v>20000</v>
      </c>
      <c r="L18" s="88">
        <f t="shared" ref="L18:L20" si="13">J18*K18</f>
        <v>20000</v>
      </c>
      <c r="M18" s="88">
        <f t="shared" ref="M18" si="14">L18*1.22</f>
        <v>24400</v>
      </c>
      <c r="N18" s="86">
        <v>1</v>
      </c>
      <c r="O18" s="88">
        <v>16247.5</v>
      </c>
      <c r="P18" s="88">
        <v>16247.5</v>
      </c>
      <c r="Q18" s="88">
        <v>19821.95</v>
      </c>
      <c r="R18" s="85">
        <v>2018</v>
      </c>
      <c r="S18" s="74">
        <f t="shared" si="6"/>
        <v>-4420.9750000000004</v>
      </c>
      <c r="T18" s="53">
        <f t="shared" si="7"/>
        <v>0.18762499999999993</v>
      </c>
      <c r="U18" s="108">
        <v>43158</v>
      </c>
      <c r="V18" s="108">
        <v>43174</v>
      </c>
      <c r="W18" s="108">
        <v>43206</v>
      </c>
      <c r="X18" s="108">
        <v>43222</v>
      </c>
      <c r="Y18" s="86" t="s">
        <v>858</v>
      </c>
      <c r="Z18" s="218" t="s">
        <v>859</v>
      </c>
      <c r="AA18" s="86" t="s">
        <v>861</v>
      </c>
      <c r="AB18" s="85" t="s">
        <v>860</v>
      </c>
      <c r="AC18" s="110" t="s">
        <v>862</v>
      </c>
      <c r="AD18" s="110">
        <v>43278</v>
      </c>
      <c r="AE18" s="86" t="s">
        <v>926</v>
      </c>
      <c r="AF18" s="86" t="s">
        <v>952</v>
      </c>
      <c r="AG18" s="86" t="s">
        <v>1553</v>
      </c>
      <c r="AH18" s="210" t="s">
        <v>8</v>
      </c>
      <c r="AI18" s="91" t="s">
        <v>1541</v>
      </c>
    </row>
    <row r="19" spans="1:35" s="12" customFormat="1" ht="24" x14ac:dyDescent="0.25">
      <c r="A19" s="91">
        <v>17</v>
      </c>
      <c r="B19" s="91" t="s">
        <v>8</v>
      </c>
      <c r="C19" s="92" t="s">
        <v>9</v>
      </c>
      <c r="D19" s="92" t="s">
        <v>198</v>
      </c>
      <c r="E19" s="92" t="s">
        <v>15</v>
      </c>
      <c r="F19" s="91">
        <v>1</v>
      </c>
      <c r="G19" s="93">
        <v>4000</v>
      </c>
      <c r="H19" s="88">
        <f t="shared" si="2"/>
        <v>4000</v>
      </c>
      <c r="I19" s="88">
        <f t="shared" si="3"/>
        <v>4880</v>
      </c>
      <c r="J19" s="91">
        <v>1</v>
      </c>
      <c r="K19" s="88">
        <v>4868.75</v>
      </c>
      <c r="L19" s="88">
        <f t="shared" si="13"/>
        <v>4868.75</v>
      </c>
      <c r="M19" s="88">
        <f t="shared" si="5"/>
        <v>5939.875</v>
      </c>
      <c r="N19" s="86">
        <v>1</v>
      </c>
      <c r="O19" s="88">
        <v>2912.1</v>
      </c>
      <c r="P19" s="88">
        <f>O19*N19</f>
        <v>2912.1</v>
      </c>
      <c r="Q19" s="88">
        <f>P19</f>
        <v>2912.1</v>
      </c>
      <c r="R19" s="85">
        <v>2020</v>
      </c>
      <c r="S19" s="74">
        <f t="shared" si="6"/>
        <v>1967.9</v>
      </c>
      <c r="T19" s="53">
        <f t="shared" si="7"/>
        <v>0.5097371577684715</v>
      </c>
      <c r="U19" s="108">
        <v>43678</v>
      </c>
      <c r="V19" s="108">
        <v>43735</v>
      </c>
      <c r="W19" s="108">
        <v>44110</v>
      </c>
      <c r="X19" s="108">
        <v>44116</v>
      </c>
      <c r="Y19" s="86" t="s">
        <v>1448</v>
      </c>
      <c r="Z19" s="218" t="s">
        <v>1456</v>
      </c>
      <c r="AA19" s="86">
        <v>7970571344</v>
      </c>
      <c r="AB19" s="85" t="s">
        <v>1485</v>
      </c>
      <c r="AC19" s="110" t="s">
        <v>1457</v>
      </c>
      <c r="AD19" s="110">
        <v>43845</v>
      </c>
      <c r="AE19" s="86" t="s">
        <v>1481</v>
      </c>
      <c r="AF19" s="86" t="s">
        <v>1521</v>
      </c>
      <c r="AG19" s="86" t="s">
        <v>1589</v>
      </c>
      <c r="AH19" s="210" t="s">
        <v>1546</v>
      </c>
      <c r="AI19" s="91" t="s">
        <v>1541</v>
      </c>
    </row>
    <row r="20" spans="1:35" s="12" customFormat="1" ht="24" x14ac:dyDescent="0.25">
      <c r="A20" s="6">
        <v>18</v>
      </c>
      <c r="B20" s="69" t="s">
        <v>8</v>
      </c>
      <c r="C20" s="73" t="s">
        <v>9</v>
      </c>
      <c r="D20" s="5" t="s">
        <v>201</v>
      </c>
      <c r="E20" s="5" t="s">
        <v>505</v>
      </c>
      <c r="F20" s="69">
        <v>3</v>
      </c>
      <c r="G20" s="89">
        <v>3500</v>
      </c>
      <c r="H20" s="41">
        <f t="shared" si="2"/>
        <v>10500</v>
      </c>
      <c r="I20" s="89">
        <f>H20*1.22</f>
        <v>12810</v>
      </c>
      <c r="J20" s="6"/>
      <c r="K20" s="5"/>
      <c r="L20" s="41">
        <f t="shared" si="13"/>
        <v>0</v>
      </c>
      <c r="M20" s="10"/>
      <c r="N20" s="5">
        <v>0</v>
      </c>
      <c r="O20" s="5">
        <v>0</v>
      </c>
      <c r="P20" s="41">
        <v>0</v>
      </c>
      <c r="Q20" s="41">
        <v>0</v>
      </c>
      <c r="R20" s="6"/>
      <c r="S20" s="74">
        <f t="shared" si="6"/>
        <v>12810</v>
      </c>
      <c r="T20" s="53" t="e">
        <f t="shared" si="7"/>
        <v>#DIV/0!</v>
      </c>
      <c r="U20" s="6"/>
      <c r="V20" s="6"/>
      <c r="W20" s="6"/>
      <c r="X20" s="6"/>
      <c r="Y20" s="6"/>
      <c r="Z20" s="6"/>
      <c r="AA20" s="6"/>
      <c r="AB20" s="6"/>
      <c r="AC20" s="6"/>
      <c r="AD20" s="6"/>
      <c r="AE20" s="6"/>
      <c r="AF20" s="6"/>
      <c r="AG20" s="6"/>
      <c r="AH20" s="89" t="s">
        <v>8</v>
      </c>
      <c r="AI20" s="6" t="s">
        <v>1548</v>
      </c>
    </row>
    <row r="21" spans="1:35" s="12" customFormat="1" ht="36" x14ac:dyDescent="0.25">
      <c r="A21" s="91">
        <v>19</v>
      </c>
      <c r="B21" s="91" t="s">
        <v>8</v>
      </c>
      <c r="C21" s="92" t="s">
        <v>9</v>
      </c>
      <c r="D21" s="92" t="s">
        <v>559</v>
      </c>
      <c r="E21" s="92" t="s">
        <v>215</v>
      </c>
      <c r="F21" s="91">
        <v>20</v>
      </c>
      <c r="G21" s="93">
        <v>3640</v>
      </c>
      <c r="H21" s="88">
        <f t="shared" si="2"/>
        <v>72800</v>
      </c>
      <c r="I21" s="88">
        <f>H21*1.04</f>
        <v>75712</v>
      </c>
      <c r="J21" s="91">
        <v>20</v>
      </c>
      <c r="K21" s="88">
        <v>4000</v>
      </c>
      <c r="L21" s="88">
        <f t="shared" si="4"/>
        <v>80000</v>
      </c>
      <c r="M21" s="88">
        <f t="shared" si="5"/>
        <v>97600</v>
      </c>
      <c r="N21" s="86">
        <v>20</v>
      </c>
      <c r="O21" s="88">
        <v>3640</v>
      </c>
      <c r="P21" s="88">
        <v>72800</v>
      </c>
      <c r="Q21" s="88">
        <v>75712</v>
      </c>
      <c r="R21" s="85">
        <v>2017</v>
      </c>
      <c r="S21" s="74">
        <f t="shared" si="6"/>
        <v>0</v>
      </c>
      <c r="T21" s="53">
        <f t="shared" si="7"/>
        <v>0.22426229508196727</v>
      </c>
      <c r="U21" s="108">
        <v>42660</v>
      </c>
      <c r="V21" s="108">
        <v>42676</v>
      </c>
      <c r="W21" s="108">
        <v>42929</v>
      </c>
      <c r="X21" s="108">
        <v>43018</v>
      </c>
      <c r="Y21" s="86" t="s">
        <v>603</v>
      </c>
      <c r="Z21" s="218" t="s">
        <v>604</v>
      </c>
      <c r="AA21" s="86">
        <v>6836688569</v>
      </c>
      <c r="AB21" s="85" t="s">
        <v>744</v>
      </c>
      <c r="AC21" s="110" t="s">
        <v>780</v>
      </c>
      <c r="AD21" s="110" t="s">
        <v>847</v>
      </c>
      <c r="AE21" s="86" t="s">
        <v>848</v>
      </c>
      <c r="AF21" s="86" t="s">
        <v>854</v>
      </c>
      <c r="AG21" s="86" t="s">
        <v>1553</v>
      </c>
      <c r="AH21" s="210" t="s">
        <v>8</v>
      </c>
      <c r="AI21" s="91" t="s">
        <v>1541</v>
      </c>
    </row>
    <row r="22" spans="1:35" s="12" customFormat="1" ht="24" x14ac:dyDescent="0.25">
      <c r="A22" s="91">
        <v>20</v>
      </c>
      <c r="B22" s="91" t="s">
        <v>8</v>
      </c>
      <c r="C22" s="92" t="s">
        <v>9</v>
      </c>
      <c r="D22" s="92" t="s">
        <v>559</v>
      </c>
      <c r="E22" s="92" t="s">
        <v>195</v>
      </c>
      <c r="F22" s="91">
        <v>4</v>
      </c>
      <c r="G22" s="93">
        <v>3640</v>
      </c>
      <c r="H22" s="88">
        <f t="shared" si="2"/>
        <v>14560</v>
      </c>
      <c r="I22" s="88">
        <f>H22*1.04</f>
        <v>15142.4</v>
      </c>
      <c r="J22" s="91">
        <v>4</v>
      </c>
      <c r="K22" s="88">
        <v>4000</v>
      </c>
      <c r="L22" s="88">
        <f t="shared" si="4"/>
        <v>16000</v>
      </c>
      <c r="M22" s="88">
        <f t="shared" si="5"/>
        <v>19520</v>
      </c>
      <c r="N22" s="86">
        <v>4</v>
      </c>
      <c r="O22" s="88">
        <v>3640</v>
      </c>
      <c r="P22" s="88">
        <v>14560</v>
      </c>
      <c r="Q22" s="88">
        <v>15142.4</v>
      </c>
      <c r="R22" s="85">
        <v>2017</v>
      </c>
      <c r="S22" s="74">
        <f t="shared" si="6"/>
        <v>0</v>
      </c>
      <c r="T22" s="53">
        <f t="shared" si="7"/>
        <v>0.22426229508196727</v>
      </c>
      <c r="U22" s="108">
        <v>42660</v>
      </c>
      <c r="V22" s="108">
        <v>42676</v>
      </c>
      <c r="W22" s="108">
        <v>42929</v>
      </c>
      <c r="X22" s="108">
        <v>43018</v>
      </c>
      <c r="Y22" s="86" t="s">
        <v>603</v>
      </c>
      <c r="Z22" s="218" t="s">
        <v>604</v>
      </c>
      <c r="AA22" s="86" t="s">
        <v>605</v>
      </c>
      <c r="AB22" s="85" t="s">
        <v>744</v>
      </c>
      <c r="AC22" s="110">
        <v>43090</v>
      </c>
      <c r="AD22" s="110">
        <v>43151</v>
      </c>
      <c r="AE22" s="86" t="s">
        <v>848</v>
      </c>
      <c r="AF22" s="86" t="s">
        <v>854</v>
      </c>
      <c r="AG22" s="86" t="s">
        <v>1553</v>
      </c>
      <c r="AH22" s="210" t="s">
        <v>8</v>
      </c>
      <c r="AI22" s="91" t="s">
        <v>1541</v>
      </c>
    </row>
    <row r="23" spans="1:35" s="12" customFormat="1" ht="24" x14ac:dyDescent="0.25">
      <c r="A23" s="91">
        <v>21</v>
      </c>
      <c r="B23" s="91" t="s">
        <v>8</v>
      </c>
      <c r="C23" s="92" t="s">
        <v>9</v>
      </c>
      <c r="D23" s="92" t="s">
        <v>205</v>
      </c>
      <c r="E23" s="92" t="s">
        <v>206</v>
      </c>
      <c r="F23" s="91">
        <v>1</v>
      </c>
      <c r="G23" s="93">
        <v>7700</v>
      </c>
      <c r="H23" s="88">
        <f t="shared" si="2"/>
        <v>7700</v>
      </c>
      <c r="I23" s="88">
        <f t="shared" si="3"/>
        <v>9394</v>
      </c>
      <c r="J23" s="91">
        <v>1</v>
      </c>
      <c r="K23" s="88">
        <v>8000</v>
      </c>
      <c r="L23" s="88">
        <f t="shared" si="4"/>
        <v>8000</v>
      </c>
      <c r="M23" s="88">
        <f t="shared" si="5"/>
        <v>9760</v>
      </c>
      <c r="N23" s="86">
        <v>1</v>
      </c>
      <c r="O23" s="88">
        <v>7700</v>
      </c>
      <c r="P23" s="88">
        <v>7700</v>
      </c>
      <c r="Q23" s="88">
        <v>9394</v>
      </c>
      <c r="R23" s="85">
        <v>2016</v>
      </c>
      <c r="S23" s="74">
        <f t="shared" si="6"/>
        <v>0</v>
      </c>
      <c r="T23" s="53">
        <f t="shared" si="7"/>
        <v>3.7499999999999978E-2</v>
      </c>
      <c r="U23" s="108">
        <v>42619</v>
      </c>
      <c r="V23" s="108">
        <v>42646</v>
      </c>
      <c r="W23" s="108">
        <v>42685</v>
      </c>
      <c r="X23" s="108">
        <v>42691</v>
      </c>
      <c r="Y23" s="86" t="s">
        <v>677</v>
      </c>
      <c r="Z23" s="218" t="s">
        <v>677</v>
      </c>
      <c r="AA23" s="86" t="s">
        <v>607</v>
      </c>
      <c r="AB23" s="85" t="s">
        <v>609</v>
      </c>
      <c r="AC23" s="110" t="s">
        <v>851</v>
      </c>
      <c r="AD23" s="110" t="s">
        <v>700</v>
      </c>
      <c r="AE23" s="86" t="s">
        <v>714</v>
      </c>
      <c r="AF23" s="86" t="s">
        <v>736</v>
      </c>
      <c r="AG23" s="86" t="s">
        <v>1553</v>
      </c>
      <c r="AH23" s="210" t="s">
        <v>8</v>
      </c>
      <c r="AI23" s="91" t="s">
        <v>1541</v>
      </c>
    </row>
    <row r="24" spans="1:35" s="12" customFormat="1" ht="24" x14ac:dyDescent="0.25">
      <c r="A24" s="91">
        <v>22</v>
      </c>
      <c r="B24" s="91" t="s">
        <v>8</v>
      </c>
      <c r="C24" s="92" t="s">
        <v>9</v>
      </c>
      <c r="D24" s="92" t="s">
        <v>205</v>
      </c>
      <c r="E24" s="92" t="s">
        <v>103</v>
      </c>
      <c r="F24" s="91">
        <v>1</v>
      </c>
      <c r="G24" s="93">
        <v>4000</v>
      </c>
      <c r="H24" s="88">
        <f t="shared" si="2"/>
        <v>4000</v>
      </c>
      <c r="I24" s="88">
        <f t="shared" si="3"/>
        <v>4880</v>
      </c>
      <c r="J24" s="91">
        <v>1</v>
      </c>
      <c r="K24" s="88">
        <v>4080</v>
      </c>
      <c r="L24" s="88">
        <f t="shared" si="4"/>
        <v>4080</v>
      </c>
      <c r="M24" s="88">
        <f t="shared" si="5"/>
        <v>4977.5999999999995</v>
      </c>
      <c r="N24" s="86">
        <v>1</v>
      </c>
      <c r="O24" s="88">
        <v>4000</v>
      </c>
      <c r="P24" s="88">
        <v>4000</v>
      </c>
      <c r="Q24" s="88">
        <v>4880</v>
      </c>
      <c r="R24" s="85">
        <v>2016</v>
      </c>
      <c r="S24" s="74">
        <f t="shared" si="6"/>
        <v>0</v>
      </c>
      <c r="T24" s="53">
        <f t="shared" si="7"/>
        <v>1.9607843137254832E-2</v>
      </c>
      <c r="U24" s="108">
        <v>42562</v>
      </c>
      <c r="V24" s="108">
        <v>42573</v>
      </c>
      <c r="W24" s="108">
        <v>42573</v>
      </c>
      <c r="X24" s="108">
        <v>42585</v>
      </c>
      <c r="Y24" s="86" t="s">
        <v>539</v>
      </c>
      <c r="Z24" s="218" t="s">
        <v>597</v>
      </c>
      <c r="AA24" s="86" t="s">
        <v>536</v>
      </c>
      <c r="AB24" s="85" t="s">
        <v>541</v>
      </c>
      <c r="AC24" s="110">
        <v>42629</v>
      </c>
      <c r="AD24" s="110">
        <v>42649</v>
      </c>
      <c r="AE24" s="86" t="s">
        <v>658</v>
      </c>
      <c r="AF24" s="86" t="s">
        <v>689</v>
      </c>
      <c r="AG24" s="86" t="s">
        <v>1553</v>
      </c>
      <c r="AH24" s="210" t="s">
        <v>8</v>
      </c>
      <c r="AI24" s="91" t="s">
        <v>1541</v>
      </c>
    </row>
    <row r="25" spans="1:35" s="12" customFormat="1" ht="24" x14ac:dyDescent="0.25">
      <c r="A25" s="91">
        <v>23</v>
      </c>
      <c r="B25" s="91" t="s">
        <v>8</v>
      </c>
      <c r="C25" s="92" t="s">
        <v>9</v>
      </c>
      <c r="D25" s="92" t="s">
        <v>205</v>
      </c>
      <c r="E25" s="92" t="s">
        <v>99</v>
      </c>
      <c r="F25" s="91">
        <v>5</v>
      </c>
      <c r="G25" s="93">
        <v>561</v>
      </c>
      <c r="H25" s="88">
        <f t="shared" si="2"/>
        <v>2805</v>
      </c>
      <c r="I25" s="88">
        <f t="shared" si="3"/>
        <v>3422.1</v>
      </c>
      <c r="J25" s="91">
        <v>5</v>
      </c>
      <c r="K25" s="88">
        <v>578</v>
      </c>
      <c r="L25" s="88">
        <f t="shared" si="4"/>
        <v>2890</v>
      </c>
      <c r="M25" s="88">
        <f t="shared" si="5"/>
        <v>3525.7999999999997</v>
      </c>
      <c r="N25" s="86">
        <v>5</v>
      </c>
      <c r="O25" s="88">
        <v>561</v>
      </c>
      <c r="P25" s="88">
        <v>2805</v>
      </c>
      <c r="Q25" s="88">
        <v>3422.1</v>
      </c>
      <c r="R25" s="85">
        <v>2016</v>
      </c>
      <c r="S25" s="74">
        <f t="shared" si="6"/>
        <v>0</v>
      </c>
      <c r="T25" s="53">
        <f t="shared" si="7"/>
        <v>2.9411764705882248E-2</v>
      </c>
      <c r="U25" s="108">
        <v>42562</v>
      </c>
      <c r="V25" s="108">
        <v>42573</v>
      </c>
      <c r="W25" s="108">
        <v>42573</v>
      </c>
      <c r="X25" s="108">
        <v>42585</v>
      </c>
      <c r="Y25" s="86" t="s">
        <v>540</v>
      </c>
      <c r="Z25" s="218" t="s">
        <v>597</v>
      </c>
      <c r="AA25" s="86" t="s">
        <v>537</v>
      </c>
      <c r="AB25" s="85" t="s">
        <v>542</v>
      </c>
      <c r="AC25" s="110">
        <v>42632</v>
      </c>
      <c r="AD25" s="110">
        <v>42633</v>
      </c>
      <c r="AE25" s="86" t="s">
        <v>652</v>
      </c>
      <c r="AF25" s="86" t="s">
        <v>690</v>
      </c>
      <c r="AG25" s="86" t="s">
        <v>1553</v>
      </c>
      <c r="AH25" s="210" t="s">
        <v>8</v>
      </c>
      <c r="AI25" s="91" t="s">
        <v>1541</v>
      </c>
    </row>
    <row r="26" spans="1:35" s="12" customFormat="1" ht="72" x14ac:dyDescent="0.25">
      <c r="A26" s="91">
        <v>24</v>
      </c>
      <c r="B26" s="91" t="s">
        <v>8</v>
      </c>
      <c r="C26" s="92" t="s">
        <v>9</v>
      </c>
      <c r="D26" s="92" t="s">
        <v>205</v>
      </c>
      <c r="E26" s="92" t="s">
        <v>511</v>
      </c>
      <c r="F26" s="91">
        <v>2</v>
      </c>
      <c r="G26" s="93">
        <v>15000</v>
      </c>
      <c r="H26" s="88">
        <f t="shared" si="2"/>
        <v>30000</v>
      </c>
      <c r="I26" s="88">
        <f t="shared" si="3"/>
        <v>36600</v>
      </c>
      <c r="J26" s="91">
        <v>1</v>
      </c>
      <c r="K26" s="88">
        <v>24500</v>
      </c>
      <c r="L26" s="88">
        <f t="shared" si="4"/>
        <v>24500</v>
      </c>
      <c r="M26" s="88">
        <f t="shared" si="5"/>
        <v>29890</v>
      </c>
      <c r="N26" s="86">
        <v>1</v>
      </c>
      <c r="O26" s="88">
        <v>14758.12</v>
      </c>
      <c r="P26" s="88">
        <f>O26*N26</f>
        <v>14758.12</v>
      </c>
      <c r="Q26" s="88">
        <f>P26*1.22</f>
        <v>18004.9064</v>
      </c>
      <c r="R26" s="85">
        <v>2020</v>
      </c>
      <c r="S26" s="74">
        <f t="shared" si="6"/>
        <v>18595.0936</v>
      </c>
      <c r="T26" s="53">
        <f t="shared" si="7"/>
        <v>0.39762775510204085</v>
      </c>
      <c r="U26" s="108">
        <v>43902</v>
      </c>
      <c r="V26" s="108">
        <v>43921</v>
      </c>
      <c r="W26" s="108">
        <v>44076</v>
      </c>
      <c r="X26" s="108">
        <v>44099</v>
      </c>
      <c r="Y26" s="86" t="s">
        <v>1288</v>
      </c>
      <c r="Z26" s="218" t="s">
        <v>1293</v>
      </c>
      <c r="AA26" s="86" t="s">
        <v>1284</v>
      </c>
      <c r="AB26" s="85" t="s">
        <v>1264</v>
      </c>
      <c r="AC26" s="110" t="s">
        <v>1472</v>
      </c>
      <c r="AD26" s="110" t="s">
        <v>1474</v>
      </c>
      <c r="AE26" s="86" t="s">
        <v>1486</v>
      </c>
      <c r="AF26" s="86" t="s">
        <v>1522</v>
      </c>
      <c r="AG26" s="86" t="s">
        <v>1589</v>
      </c>
      <c r="AH26" s="210" t="s">
        <v>8</v>
      </c>
      <c r="AI26" s="91" t="s">
        <v>1541</v>
      </c>
    </row>
    <row r="27" spans="1:35" s="12" customFormat="1" ht="12" x14ac:dyDescent="0.25">
      <c r="A27" s="38">
        <v>25</v>
      </c>
      <c r="B27" s="6" t="s">
        <v>8</v>
      </c>
      <c r="C27" s="5" t="s">
        <v>9</v>
      </c>
      <c r="D27" s="5" t="s">
        <v>205</v>
      </c>
      <c r="E27" s="5" t="s">
        <v>510</v>
      </c>
      <c r="F27" s="6">
        <v>1</v>
      </c>
      <c r="G27" s="7">
        <v>3000</v>
      </c>
      <c r="H27" s="41">
        <f t="shared" si="2"/>
        <v>3000</v>
      </c>
      <c r="I27" s="41">
        <f t="shared" si="3"/>
        <v>3660</v>
      </c>
      <c r="J27" s="6"/>
      <c r="K27" s="6"/>
      <c r="L27" s="41">
        <f t="shared" si="4"/>
        <v>0</v>
      </c>
      <c r="M27" s="41">
        <f t="shared" si="5"/>
        <v>0</v>
      </c>
      <c r="N27" s="6"/>
      <c r="O27" s="6"/>
      <c r="P27" s="41">
        <v>0</v>
      </c>
      <c r="Q27" s="41">
        <v>0</v>
      </c>
      <c r="R27" s="6"/>
      <c r="S27" s="74">
        <f t="shared" si="6"/>
        <v>3660</v>
      </c>
      <c r="T27" s="53" t="e">
        <f t="shared" si="7"/>
        <v>#DIV/0!</v>
      </c>
      <c r="U27" s="6"/>
      <c r="V27" s="6"/>
      <c r="W27" s="6"/>
      <c r="X27" s="6"/>
      <c r="Y27" s="6"/>
      <c r="Z27" s="71"/>
      <c r="AA27" s="6"/>
      <c r="AB27" s="6"/>
      <c r="AC27" s="6"/>
      <c r="AD27" s="6"/>
      <c r="AE27" s="6"/>
      <c r="AF27" s="6"/>
      <c r="AG27" s="6"/>
      <c r="AH27" s="89" t="s">
        <v>8</v>
      </c>
      <c r="AI27" s="6" t="s">
        <v>1547</v>
      </c>
    </row>
    <row r="28" spans="1:35" s="12" customFormat="1" ht="24" x14ac:dyDescent="0.25">
      <c r="A28" s="91">
        <v>26</v>
      </c>
      <c r="B28" s="91" t="s">
        <v>8</v>
      </c>
      <c r="C28" s="92" t="s">
        <v>9</v>
      </c>
      <c r="D28" s="92" t="s">
        <v>205</v>
      </c>
      <c r="E28" s="92" t="s">
        <v>15</v>
      </c>
      <c r="F28" s="91">
        <v>2</v>
      </c>
      <c r="G28" s="93">
        <v>4000</v>
      </c>
      <c r="H28" s="88">
        <f t="shared" si="2"/>
        <v>8000</v>
      </c>
      <c r="I28" s="88">
        <f t="shared" si="3"/>
        <v>9760</v>
      </c>
      <c r="J28" s="91">
        <v>2</v>
      </c>
      <c r="K28" s="88">
        <v>4868.75</v>
      </c>
      <c r="L28" s="88">
        <f t="shared" si="4"/>
        <v>9737.5</v>
      </c>
      <c r="M28" s="88">
        <f t="shared" si="5"/>
        <v>11879.75</v>
      </c>
      <c r="N28" s="86">
        <v>2</v>
      </c>
      <c r="O28" s="88">
        <v>2801.65</v>
      </c>
      <c r="P28" s="88">
        <f>O28*N28</f>
        <v>5603.3</v>
      </c>
      <c r="Q28" s="88">
        <f>P28</f>
        <v>5603.3</v>
      </c>
      <c r="R28" s="85">
        <v>2020</v>
      </c>
      <c r="S28" s="74">
        <f t="shared" si="6"/>
        <v>4156.7</v>
      </c>
      <c r="T28" s="53">
        <f t="shared" si="7"/>
        <v>0.52833182516467092</v>
      </c>
      <c r="U28" s="108">
        <v>43678</v>
      </c>
      <c r="V28" s="108">
        <v>43735</v>
      </c>
      <c r="W28" s="108">
        <v>44110</v>
      </c>
      <c r="X28" s="108">
        <v>44116</v>
      </c>
      <c r="Y28" s="86" t="s">
        <v>1448</v>
      </c>
      <c r="Z28" s="218" t="s">
        <v>1456</v>
      </c>
      <c r="AA28" s="86">
        <v>7970571344</v>
      </c>
      <c r="AB28" s="85" t="s">
        <v>1485</v>
      </c>
      <c r="AC28" s="110" t="s">
        <v>1457</v>
      </c>
      <c r="AD28" s="110">
        <v>43845</v>
      </c>
      <c r="AE28" s="86" t="s">
        <v>1481</v>
      </c>
      <c r="AF28" s="86" t="s">
        <v>1521</v>
      </c>
      <c r="AG28" s="86" t="s">
        <v>1589</v>
      </c>
      <c r="AH28" s="210" t="s">
        <v>1546</v>
      </c>
      <c r="AI28" s="91" t="s">
        <v>1541</v>
      </c>
    </row>
    <row r="29" spans="1:35" s="12" customFormat="1" ht="24" x14ac:dyDescent="0.25">
      <c r="A29" s="91">
        <v>27</v>
      </c>
      <c r="B29" s="91" t="s">
        <v>8</v>
      </c>
      <c r="C29" s="92" t="s">
        <v>9</v>
      </c>
      <c r="D29" s="92" t="s">
        <v>514</v>
      </c>
      <c r="E29" s="92" t="s">
        <v>556</v>
      </c>
      <c r="F29" s="91">
        <v>1</v>
      </c>
      <c r="G29" s="93">
        <v>14292</v>
      </c>
      <c r="H29" s="88">
        <f t="shared" si="2"/>
        <v>14292</v>
      </c>
      <c r="I29" s="88">
        <f t="shared" si="3"/>
        <v>17436.239999999998</v>
      </c>
      <c r="J29" s="91">
        <v>1</v>
      </c>
      <c r="K29" s="88">
        <v>25000</v>
      </c>
      <c r="L29" s="88">
        <f t="shared" si="4"/>
        <v>25000</v>
      </c>
      <c r="M29" s="88">
        <f t="shared" si="5"/>
        <v>30500</v>
      </c>
      <c r="N29" s="86">
        <v>1</v>
      </c>
      <c r="O29" s="88">
        <v>14292</v>
      </c>
      <c r="P29" s="88">
        <v>14292</v>
      </c>
      <c r="Q29" s="88">
        <v>17436.239999999998</v>
      </c>
      <c r="R29" s="85">
        <v>2016</v>
      </c>
      <c r="S29" s="74">
        <f t="shared" si="6"/>
        <v>0</v>
      </c>
      <c r="T29" s="53">
        <f t="shared" si="7"/>
        <v>0.42832000000000003</v>
      </c>
      <c r="U29" s="108">
        <v>42619</v>
      </c>
      <c r="V29" s="108">
        <v>42657</v>
      </c>
      <c r="W29" s="108">
        <v>42704</v>
      </c>
      <c r="X29" s="108">
        <v>42719</v>
      </c>
      <c r="Y29" s="86">
        <v>42761</v>
      </c>
      <c r="Z29" s="218" t="s">
        <v>699</v>
      </c>
      <c r="AA29" s="86" t="s">
        <v>611</v>
      </c>
      <c r="AB29" s="85" t="s">
        <v>698</v>
      </c>
      <c r="AC29" s="110">
        <v>42797</v>
      </c>
      <c r="AD29" s="110">
        <v>42836</v>
      </c>
      <c r="AE29" s="86" t="s">
        <v>729</v>
      </c>
      <c r="AF29" s="86" t="s">
        <v>737</v>
      </c>
      <c r="AG29" s="86" t="s">
        <v>1553</v>
      </c>
      <c r="AH29" s="210" t="s">
        <v>8</v>
      </c>
      <c r="AI29" s="91" t="s">
        <v>1541</v>
      </c>
    </row>
    <row r="30" spans="1:35" s="12" customFormat="1" ht="24" x14ac:dyDescent="0.25">
      <c r="A30" s="91">
        <v>28</v>
      </c>
      <c r="B30" s="91" t="s">
        <v>8</v>
      </c>
      <c r="C30" s="92" t="s">
        <v>9</v>
      </c>
      <c r="D30" s="92" t="s">
        <v>514</v>
      </c>
      <c r="E30" s="92" t="s">
        <v>557</v>
      </c>
      <c r="F30" s="91">
        <v>1</v>
      </c>
      <c r="G30" s="93">
        <v>8664</v>
      </c>
      <c r="H30" s="88">
        <f t="shared" si="2"/>
        <v>8664</v>
      </c>
      <c r="I30" s="88">
        <f t="shared" si="3"/>
        <v>10570.08</v>
      </c>
      <c r="J30" s="91">
        <v>1</v>
      </c>
      <c r="K30" s="88">
        <v>15000</v>
      </c>
      <c r="L30" s="88">
        <f t="shared" si="4"/>
        <v>15000</v>
      </c>
      <c r="M30" s="88">
        <f t="shared" si="5"/>
        <v>18300</v>
      </c>
      <c r="N30" s="86">
        <v>1</v>
      </c>
      <c r="O30" s="88">
        <v>8664</v>
      </c>
      <c r="P30" s="88">
        <v>8664</v>
      </c>
      <c r="Q30" s="88">
        <v>10570.08</v>
      </c>
      <c r="R30" s="85">
        <v>2016</v>
      </c>
      <c r="S30" s="74">
        <f t="shared" si="6"/>
        <v>0</v>
      </c>
      <c r="T30" s="53">
        <f t="shared" si="7"/>
        <v>0.4224</v>
      </c>
      <c r="U30" s="108">
        <v>42619</v>
      </c>
      <c r="V30" s="108">
        <v>42657</v>
      </c>
      <c r="W30" s="108">
        <v>42704</v>
      </c>
      <c r="X30" s="108">
        <v>42719</v>
      </c>
      <c r="Y30" s="86">
        <v>42761</v>
      </c>
      <c r="Z30" s="218" t="s">
        <v>699</v>
      </c>
      <c r="AA30" s="86" t="s">
        <v>611</v>
      </c>
      <c r="AB30" s="85" t="s">
        <v>698</v>
      </c>
      <c r="AC30" s="110">
        <v>42797</v>
      </c>
      <c r="AD30" s="110">
        <v>42836</v>
      </c>
      <c r="AE30" s="86" t="s">
        <v>729</v>
      </c>
      <c r="AF30" s="86" t="s">
        <v>737</v>
      </c>
      <c r="AG30" s="86" t="s">
        <v>1553</v>
      </c>
      <c r="AH30" s="210" t="s">
        <v>8</v>
      </c>
      <c r="AI30" s="91" t="s">
        <v>1541</v>
      </c>
    </row>
    <row r="31" spans="1:35" s="12" customFormat="1" ht="24" x14ac:dyDescent="0.25">
      <c r="A31" s="91">
        <v>29</v>
      </c>
      <c r="B31" s="91" t="s">
        <v>8</v>
      </c>
      <c r="C31" s="92" t="s">
        <v>9</v>
      </c>
      <c r="D31" s="92" t="s">
        <v>514</v>
      </c>
      <c r="E31" s="92" t="s">
        <v>558</v>
      </c>
      <c r="F31" s="91">
        <v>1</v>
      </c>
      <c r="G31" s="93">
        <v>19285</v>
      </c>
      <c r="H31" s="88">
        <f t="shared" si="2"/>
        <v>19285</v>
      </c>
      <c r="I31" s="88">
        <f t="shared" si="3"/>
        <v>23527.7</v>
      </c>
      <c r="J31" s="91">
        <v>1</v>
      </c>
      <c r="K31" s="88">
        <v>25000</v>
      </c>
      <c r="L31" s="88">
        <f t="shared" si="4"/>
        <v>25000</v>
      </c>
      <c r="M31" s="88">
        <f t="shared" si="5"/>
        <v>30500</v>
      </c>
      <c r="N31" s="86">
        <v>1</v>
      </c>
      <c r="O31" s="88">
        <v>19285</v>
      </c>
      <c r="P31" s="88">
        <v>19285</v>
      </c>
      <c r="Q31" s="88">
        <v>23527.7</v>
      </c>
      <c r="R31" s="85">
        <v>2016</v>
      </c>
      <c r="S31" s="74">
        <f t="shared" si="6"/>
        <v>0</v>
      </c>
      <c r="T31" s="53">
        <f t="shared" si="7"/>
        <v>0.22860000000000003</v>
      </c>
      <c r="U31" s="108">
        <v>42619</v>
      </c>
      <c r="V31" s="108">
        <v>42657</v>
      </c>
      <c r="W31" s="108">
        <v>42704</v>
      </c>
      <c r="X31" s="108">
        <v>42719</v>
      </c>
      <c r="Y31" s="86">
        <v>42761</v>
      </c>
      <c r="Z31" s="218" t="s">
        <v>699</v>
      </c>
      <c r="AA31" s="86" t="s">
        <v>611</v>
      </c>
      <c r="AB31" s="85" t="s">
        <v>698</v>
      </c>
      <c r="AC31" s="110">
        <v>42797</v>
      </c>
      <c r="AD31" s="110">
        <v>42836</v>
      </c>
      <c r="AE31" s="86" t="s">
        <v>729</v>
      </c>
      <c r="AF31" s="86" t="s">
        <v>737</v>
      </c>
      <c r="AG31" s="86" t="s">
        <v>1553</v>
      </c>
      <c r="AH31" s="210" t="s">
        <v>8</v>
      </c>
      <c r="AI31" s="91" t="s">
        <v>1541</v>
      </c>
    </row>
    <row r="32" spans="1:35" x14ac:dyDescent="0.25">
      <c r="A32" s="6">
        <v>30</v>
      </c>
      <c r="B32" s="142" t="s">
        <v>8</v>
      </c>
      <c r="C32" s="143" t="s">
        <v>9</v>
      </c>
      <c r="D32" s="143" t="s">
        <v>835</v>
      </c>
      <c r="E32" s="144" t="s">
        <v>65</v>
      </c>
      <c r="F32" s="142">
        <v>1</v>
      </c>
      <c r="G32" s="145">
        <v>8000</v>
      </c>
      <c r="H32" s="41">
        <f t="shared" si="2"/>
        <v>8000</v>
      </c>
      <c r="I32" s="145">
        <f>H32*1.22</f>
        <v>9760</v>
      </c>
      <c r="J32" s="146"/>
      <c r="K32" s="147"/>
      <c r="L32" s="41">
        <f t="shared" si="4"/>
        <v>0</v>
      </c>
      <c r="M32" s="145"/>
      <c r="N32" s="141"/>
      <c r="O32" s="148"/>
      <c r="P32" s="41">
        <v>0</v>
      </c>
      <c r="Q32" s="41">
        <v>0</v>
      </c>
      <c r="R32" s="141"/>
      <c r="S32" s="74">
        <f t="shared" si="6"/>
        <v>9760</v>
      </c>
      <c r="T32" s="53" t="e">
        <f t="shared" si="7"/>
        <v>#DIV/0!</v>
      </c>
      <c r="U32" s="141"/>
      <c r="V32" s="141"/>
      <c r="W32" s="141"/>
      <c r="X32" s="141"/>
      <c r="Y32" s="142"/>
      <c r="Z32" s="149"/>
      <c r="AA32" s="40"/>
      <c r="AB32" s="141"/>
      <c r="AC32" s="142"/>
      <c r="AD32" s="141"/>
      <c r="AE32" s="150"/>
      <c r="AF32" s="151"/>
      <c r="AG32" s="141"/>
      <c r="AH32" s="89" t="s">
        <v>8</v>
      </c>
      <c r="AI32" s="6" t="s">
        <v>1547</v>
      </c>
    </row>
    <row r="33" spans="1:35" s="12" customFormat="1" ht="24" x14ac:dyDescent="0.25">
      <c r="A33" s="91">
        <v>31</v>
      </c>
      <c r="B33" s="91" t="s">
        <v>8</v>
      </c>
      <c r="C33" s="92" t="s">
        <v>9</v>
      </c>
      <c r="D33" s="92" t="s">
        <v>291</v>
      </c>
      <c r="E33" s="92" t="s">
        <v>15</v>
      </c>
      <c r="F33" s="91">
        <v>2</v>
      </c>
      <c r="G33" s="93">
        <v>4000</v>
      </c>
      <c r="H33" s="88">
        <f t="shared" si="2"/>
        <v>8000</v>
      </c>
      <c r="I33" s="88">
        <f t="shared" si="3"/>
        <v>9760</v>
      </c>
      <c r="J33" s="91">
        <v>4</v>
      </c>
      <c r="K33" s="88">
        <v>4868.75</v>
      </c>
      <c r="L33" s="88">
        <f t="shared" si="4"/>
        <v>19475</v>
      </c>
      <c r="M33" s="88">
        <f t="shared" si="5"/>
        <v>23759.5</v>
      </c>
      <c r="N33" s="86">
        <v>4</v>
      </c>
      <c r="O33" s="88">
        <f>P33/N33</f>
        <v>2884.4875000000002</v>
      </c>
      <c r="P33" s="88">
        <v>11537.95</v>
      </c>
      <c r="Q33" s="88">
        <f>P33</f>
        <v>11537.95</v>
      </c>
      <c r="R33" s="85">
        <v>2020</v>
      </c>
      <c r="S33" s="74">
        <f t="shared" si="6"/>
        <v>-1777.9500000000007</v>
      </c>
      <c r="T33" s="53">
        <f t="shared" si="7"/>
        <v>0.51438582461752136</v>
      </c>
      <c r="U33" s="108">
        <v>43678</v>
      </c>
      <c r="V33" s="108">
        <v>43735</v>
      </c>
      <c r="W33" s="108">
        <v>44110</v>
      </c>
      <c r="X33" s="108">
        <v>44116</v>
      </c>
      <c r="Y33" s="86" t="s">
        <v>1448</v>
      </c>
      <c r="Z33" s="218" t="s">
        <v>1456</v>
      </c>
      <c r="AA33" s="86">
        <v>7970571344</v>
      </c>
      <c r="AB33" s="85" t="s">
        <v>1485</v>
      </c>
      <c r="AC33" s="110" t="s">
        <v>1457</v>
      </c>
      <c r="AD33" s="110">
        <v>43845</v>
      </c>
      <c r="AE33" s="86" t="s">
        <v>1481</v>
      </c>
      <c r="AF33" s="86" t="s">
        <v>1521</v>
      </c>
      <c r="AG33" s="86" t="s">
        <v>1589</v>
      </c>
      <c r="AH33" s="210" t="s">
        <v>1546</v>
      </c>
      <c r="AI33" s="91" t="s">
        <v>1541</v>
      </c>
    </row>
    <row r="34" spans="1:35" s="12" customFormat="1" ht="24" x14ac:dyDescent="0.25">
      <c r="A34" s="91">
        <v>32</v>
      </c>
      <c r="B34" s="91" t="s">
        <v>8</v>
      </c>
      <c r="C34" s="92" t="s">
        <v>9</v>
      </c>
      <c r="D34" s="92" t="s">
        <v>41</v>
      </c>
      <c r="E34" s="92" t="s">
        <v>42</v>
      </c>
      <c r="F34" s="91">
        <v>3</v>
      </c>
      <c r="G34" s="93">
        <v>33333.332999999999</v>
      </c>
      <c r="H34" s="88">
        <f>F34*G34</f>
        <v>99999.998999999996</v>
      </c>
      <c r="I34" s="88">
        <f>H34*1.22</f>
        <v>121999.99877999999</v>
      </c>
      <c r="J34" s="91">
        <v>3</v>
      </c>
      <c r="K34" s="88">
        <v>126747.62</v>
      </c>
      <c r="L34" s="88">
        <f t="shared" ref="L34:L39" si="15">J34*K34</f>
        <v>380242.86</v>
      </c>
      <c r="M34" s="88">
        <f t="shared" ref="M34:M39" si="16">L34*1.22</f>
        <v>463896.2892</v>
      </c>
      <c r="N34" s="86">
        <v>3</v>
      </c>
      <c r="O34" s="88">
        <v>33333.332999999999</v>
      </c>
      <c r="P34" s="88">
        <v>99999.998999999996</v>
      </c>
      <c r="Q34" s="88">
        <v>121999.99877999999</v>
      </c>
      <c r="R34" s="85">
        <v>2016</v>
      </c>
      <c r="S34" s="74">
        <f t="shared" si="6"/>
        <v>0</v>
      </c>
      <c r="T34" s="53">
        <f t="shared" si="7"/>
        <v>0.73701018606897706</v>
      </c>
      <c r="U34" s="108">
        <v>42297</v>
      </c>
      <c r="V34" s="108">
        <v>42349</v>
      </c>
      <c r="W34" s="108">
        <v>42506</v>
      </c>
      <c r="X34" s="108">
        <v>42578</v>
      </c>
      <c r="Y34" s="86" t="s">
        <v>659</v>
      </c>
      <c r="Z34" s="218" t="s">
        <v>600</v>
      </c>
      <c r="AA34" s="86" t="s">
        <v>601</v>
      </c>
      <c r="AB34" s="85" t="s">
        <v>543</v>
      </c>
      <c r="AC34" s="110">
        <v>42710</v>
      </c>
      <c r="AD34" s="110">
        <v>42725</v>
      </c>
      <c r="AE34" s="86" t="s">
        <v>667</v>
      </c>
      <c r="AF34" s="86" t="s">
        <v>691</v>
      </c>
      <c r="AG34" s="86" t="s">
        <v>1553</v>
      </c>
      <c r="AH34" s="210" t="s">
        <v>8</v>
      </c>
      <c r="AI34" s="91" t="s">
        <v>1541</v>
      </c>
    </row>
    <row r="35" spans="1:35" s="12" customFormat="1" ht="24" x14ac:dyDescent="0.25">
      <c r="A35" s="91">
        <v>33</v>
      </c>
      <c r="B35" s="91" t="s">
        <v>8</v>
      </c>
      <c r="C35" s="92" t="s">
        <v>9</v>
      </c>
      <c r="D35" s="92" t="s">
        <v>41</v>
      </c>
      <c r="E35" s="92" t="s">
        <v>563</v>
      </c>
      <c r="F35" s="91">
        <v>3</v>
      </c>
      <c r="G35" s="93">
        <v>12300</v>
      </c>
      <c r="H35" s="88">
        <f>F35*G35</f>
        <v>36900</v>
      </c>
      <c r="I35" s="88">
        <f>H35*1.22</f>
        <v>45018</v>
      </c>
      <c r="J35" s="91">
        <v>3</v>
      </c>
      <c r="K35" s="88">
        <v>39000</v>
      </c>
      <c r="L35" s="88">
        <f t="shared" si="15"/>
        <v>117000</v>
      </c>
      <c r="M35" s="88">
        <f t="shared" si="16"/>
        <v>142740</v>
      </c>
      <c r="N35" s="86">
        <v>3</v>
      </c>
      <c r="O35" s="88">
        <v>12300</v>
      </c>
      <c r="P35" s="88">
        <v>36900</v>
      </c>
      <c r="Q35" s="88">
        <v>45018</v>
      </c>
      <c r="R35" s="85">
        <v>2017</v>
      </c>
      <c r="S35" s="74">
        <f t="shared" si="6"/>
        <v>0</v>
      </c>
      <c r="T35" s="53">
        <f t="shared" si="7"/>
        <v>0.68461538461538463</v>
      </c>
      <c r="U35" s="108">
        <v>42782</v>
      </c>
      <c r="V35" s="108">
        <v>42802</v>
      </c>
      <c r="W35" s="108">
        <v>42824</v>
      </c>
      <c r="X35" s="108">
        <v>42830</v>
      </c>
      <c r="Y35" s="86" t="s">
        <v>710</v>
      </c>
      <c r="Z35" s="218" t="s">
        <v>711</v>
      </c>
      <c r="AA35" s="86" t="s">
        <v>712</v>
      </c>
      <c r="AB35" s="85" t="s">
        <v>713</v>
      </c>
      <c r="AC35" s="110" t="s">
        <v>727</v>
      </c>
      <c r="AD35" s="110">
        <v>42936</v>
      </c>
      <c r="AE35" s="86" t="s">
        <v>731</v>
      </c>
      <c r="AF35" s="86" t="s">
        <v>742</v>
      </c>
      <c r="AG35" s="86" t="s">
        <v>1553</v>
      </c>
      <c r="AH35" s="210" t="s">
        <v>8</v>
      </c>
      <c r="AI35" s="91" t="s">
        <v>1541</v>
      </c>
    </row>
    <row r="36" spans="1:35" s="12" customFormat="1" ht="24" x14ac:dyDescent="0.25">
      <c r="A36" s="91">
        <v>34</v>
      </c>
      <c r="B36" s="91" t="s">
        <v>8</v>
      </c>
      <c r="C36" s="92" t="s">
        <v>9</v>
      </c>
      <c r="D36" s="92" t="s">
        <v>41</v>
      </c>
      <c r="E36" s="92" t="s">
        <v>43</v>
      </c>
      <c r="F36" s="91">
        <v>1</v>
      </c>
      <c r="G36" s="93">
        <v>69000</v>
      </c>
      <c r="H36" s="88">
        <f>F36*G36</f>
        <v>69000</v>
      </c>
      <c r="I36" s="88">
        <f>H36*1.22</f>
        <v>84180</v>
      </c>
      <c r="J36" s="91">
        <v>1</v>
      </c>
      <c r="K36" s="88">
        <v>167550</v>
      </c>
      <c r="L36" s="88">
        <f t="shared" si="15"/>
        <v>167550</v>
      </c>
      <c r="M36" s="88">
        <f t="shared" si="16"/>
        <v>204411</v>
      </c>
      <c r="N36" s="86">
        <v>1</v>
      </c>
      <c r="O36" s="88">
        <v>69000</v>
      </c>
      <c r="P36" s="88">
        <v>69000</v>
      </c>
      <c r="Q36" s="88">
        <v>84180</v>
      </c>
      <c r="R36" s="85">
        <v>2016</v>
      </c>
      <c r="S36" s="74">
        <f t="shared" si="6"/>
        <v>0</v>
      </c>
      <c r="T36" s="53">
        <f t="shared" si="7"/>
        <v>0.58818263205013421</v>
      </c>
      <c r="U36" s="108">
        <v>42297</v>
      </c>
      <c r="V36" s="108">
        <v>42349</v>
      </c>
      <c r="W36" s="108">
        <v>42506</v>
      </c>
      <c r="X36" s="108">
        <v>42531</v>
      </c>
      <c r="Y36" s="86" t="s">
        <v>489</v>
      </c>
      <c r="Z36" s="218" t="s">
        <v>599</v>
      </c>
      <c r="AA36" s="86" t="s">
        <v>490</v>
      </c>
      <c r="AB36" s="85" t="s">
        <v>491</v>
      </c>
      <c r="AC36" s="110">
        <v>42605</v>
      </c>
      <c r="AD36" s="110">
        <v>42625</v>
      </c>
      <c r="AE36" s="86" t="s">
        <v>598</v>
      </c>
      <c r="AF36" s="86" t="s">
        <v>615</v>
      </c>
      <c r="AG36" s="86" t="s">
        <v>1553</v>
      </c>
      <c r="AH36" s="210" t="s">
        <v>8</v>
      </c>
      <c r="AI36" s="91" t="s">
        <v>1541</v>
      </c>
    </row>
    <row r="37" spans="1:35" s="12" customFormat="1" ht="24" x14ac:dyDescent="0.25">
      <c r="A37" s="91">
        <v>35</v>
      </c>
      <c r="B37" s="91" t="s">
        <v>8</v>
      </c>
      <c r="C37" s="92" t="s">
        <v>9</v>
      </c>
      <c r="D37" s="92" t="s">
        <v>23</v>
      </c>
      <c r="E37" s="92" t="s">
        <v>549</v>
      </c>
      <c r="F37" s="91">
        <v>1</v>
      </c>
      <c r="G37" s="93">
        <v>3185</v>
      </c>
      <c r="H37" s="88">
        <f>F37*G37</f>
        <v>3185</v>
      </c>
      <c r="I37" s="88">
        <f>H37*1.22</f>
        <v>3885.7</v>
      </c>
      <c r="J37" s="91">
        <v>1</v>
      </c>
      <c r="K37" s="88">
        <v>3250</v>
      </c>
      <c r="L37" s="88">
        <f t="shared" si="15"/>
        <v>3250</v>
      </c>
      <c r="M37" s="88">
        <f t="shared" si="16"/>
        <v>3965</v>
      </c>
      <c r="N37" s="86">
        <v>1</v>
      </c>
      <c r="O37" s="88">
        <v>3185</v>
      </c>
      <c r="P37" s="88">
        <v>3185</v>
      </c>
      <c r="Q37" s="88">
        <v>3885.7</v>
      </c>
      <c r="R37" s="85">
        <v>2017</v>
      </c>
      <c r="S37" s="74">
        <f t="shared" si="6"/>
        <v>0</v>
      </c>
      <c r="T37" s="53">
        <f t="shared" si="7"/>
        <v>2.0000000000000018E-2</v>
      </c>
      <c r="U37" s="108">
        <v>42818</v>
      </c>
      <c r="V37" s="108">
        <v>42835</v>
      </c>
      <c r="W37" s="108">
        <v>42835</v>
      </c>
      <c r="X37" s="108">
        <v>42843</v>
      </c>
      <c r="Y37" s="86" t="s">
        <v>705</v>
      </c>
      <c r="Z37" s="218" t="s">
        <v>706</v>
      </c>
      <c r="AA37" s="86" t="s">
        <v>681</v>
      </c>
      <c r="AB37" s="85" t="s">
        <v>121</v>
      </c>
      <c r="AC37" s="110">
        <v>42870</v>
      </c>
      <c r="AD37" s="110">
        <v>42936</v>
      </c>
      <c r="AE37" s="86" t="s">
        <v>715</v>
      </c>
      <c r="AF37" s="86" t="s">
        <v>738</v>
      </c>
      <c r="AG37" s="86" t="s">
        <v>1553</v>
      </c>
      <c r="AH37" s="210" t="s">
        <v>8</v>
      </c>
      <c r="AI37" s="91" t="s">
        <v>1541</v>
      </c>
    </row>
    <row r="38" spans="1:35" s="12" customFormat="1" ht="24" x14ac:dyDescent="0.25">
      <c r="A38" s="91">
        <v>36</v>
      </c>
      <c r="B38" s="91" t="s">
        <v>8</v>
      </c>
      <c r="C38" s="92" t="s">
        <v>9</v>
      </c>
      <c r="D38" s="92" t="s">
        <v>23</v>
      </c>
      <c r="E38" s="92" t="s">
        <v>747</v>
      </c>
      <c r="F38" s="91">
        <v>1</v>
      </c>
      <c r="G38" s="93">
        <v>980</v>
      </c>
      <c r="H38" s="88">
        <f t="shared" si="2"/>
        <v>980</v>
      </c>
      <c r="I38" s="88">
        <f>H38*1.22</f>
        <v>1195.5999999999999</v>
      </c>
      <c r="J38" s="91">
        <v>1</v>
      </c>
      <c r="K38" s="88">
        <v>1000</v>
      </c>
      <c r="L38" s="88">
        <f t="shared" si="15"/>
        <v>1000</v>
      </c>
      <c r="M38" s="88">
        <f t="shared" si="16"/>
        <v>1220</v>
      </c>
      <c r="N38" s="86">
        <v>1</v>
      </c>
      <c r="O38" s="88">
        <v>980</v>
      </c>
      <c r="P38" s="88">
        <v>980</v>
      </c>
      <c r="Q38" s="88">
        <v>1195.5999999999999</v>
      </c>
      <c r="R38" s="85">
        <v>2017</v>
      </c>
      <c r="S38" s="74">
        <f t="shared" si="6"/>
        <v>0</v>
      </c>
      <c r="T38" s="53">
        <f t="shared" si="7"/>
        <v>2.0000000000000129E-2</v>
      </c>
      <c r="U38" s="108">
        <v>42958</v>
      </c>
      <c r="V38" s="108">
        <v>42997</v>
      </c>
      <c r="W38" s="108">
        <v>42998</v>
      </c>
      <c r="X38" s="108">
        <v>43014</v>
      </c>
      <c r="Y38" s="86" t="s">
        <v>749</v>
      </c>
      <c r="Z38" s="218" t="s">
        <v>750</v>
      </c>
      <c r="AA38" s="86" t="s">
        <v>748</v>
      </c>
      <c r="AB38" s="85" t="s">
        <v>121</v>
      </c>
      <c r="AC38" s="110">
        <v>43026</v>
      </c>
      <c r="AD38" s="110">
        <v>43046</v>
      </c>
      <c r="AE38" s="86" t="s">
        <v>758</v>
      </c>
      <c r="AF38" s="86" t="s">
        <v>800</v>
      </c>
      <c r="AG38" s="86" t="s">
        <v>1553</v>
      </c>
      <c r="AH38" s="210" t="s">
        <v>8</v>
      </c>
      <c r="AI38" s="91" t="s">
        <v>1541</v>
      </c>
    </row>
    <row r="39" spans="1:35" s="12" customFormat="1" ht="24" x14ac:dyDescent="0.25">
      <c r="A39" s="91">
        <v>37</v>
      </c>
      <c r="B39" s="91" t="s">
        <v>8</v>
      </c>
      <c r="C39" s="92" t="s">
        <v>9</v>
      </c>
      <c r="D39" s="92" t="s">
        <v>23</v>
      </c>
      <c r="E39" s="92" t="s">
        <v>24</v>
      </c>
      <c r="F39" s="91">
        <v>1</v>
      </c>
      <c r="G39" s="93">
        <v>6000</v>
      </c>
      <c r="H39" s="88">
        <f t="shared" si="2"/>
        <v>6000</v>
      </c>
      <c r="I39" s="88">
        <f t="shared" ref="I39" si="17">H39*1.22</f>
        <v>7320</v>
      </c>
      <c r="J39" s="91">
        <v>1</v>
      </c>
      <c r="K39" s="88">
        <v>6000</v>
      </c>
      <c r="L39" s="88">
        <f t="shared" si="15"/>
        <v>6000</v>
      </c>
      <c r="M39" s="88">
        <f t="shared" si="16"/>
        <v>7320</v>
      </c>
      <c r="N39" s="86">
        <v>1</v>
      </c>
      <c r="O39" s="88">
        <v>5400</v>
      </c>
      <c r="P39" s="88">
        <f>O39*N39</f>
        <v>5400</v>
      </c>
      <c r="Q39" s="88">
        <f>P39*1.22</f>
        <v>6588</v>
      </c>
      <c r="R39" s="85">
        <v>2018</v>
      </c>
      <c r="S39" s="74">
        <f t="shared" si="6"/>
        <v>732</v>
      </c>
      <c r="T39" s="53">
        <f t="shared" si="7"/>
        <v>9.9999999999999978E-2</v>
      </c>
      <c r="U39" s="108">
        <v>43151</v>
      </c>
      <c r="V39" s="108">
        <v>43165</v>
      </c>
      <c r="W39" s="108">
        <v>43242</v>
      </c>
      <c r="X39" s="108" t="s">
        <v>1104</v>
      </c>
      <c r="Y39" s="86" t="s">
        <v>1105</v>
      </c>
      <c r="Z39" s="218" t="s">
        <v>1459</v>
      </c>
      <c r="AA39" s="86" t="s">
        <v>1106</v>
      </c>
      <c r="AB39" s="85" t="s">
        <v>1107</v>
      </c>
      <c r="AC39" s="110">
        <v>43550</v>
      </c>
      <c r="AD39" s="110">
        <v>43608</v>
      </c>
      <c r="AE39" s="86" t="s">
        <v>1460</v>
      </c>
      <c r="AF39" s="86" t="s">
        <v>1600</v>
      </c>
      <c r="AG39" s="86" t="s">
        <v>1589</v>
      </c>
      <c r="AH39" s="210" t="s">
        <v>8</v>
      </c>
      <c r="AI39" s="91" t="s">
        <v>1541</v>
      </c>
    </row>
    <row r="40" spans="1:35" s="12" customFormat="1" ht="24" x14ac:dyDescent="0.25">
      <c r="A40" s="91">
        <v>38</v>
      </c>
      <c r="B40" s="91" t="s">
        <v>8</v>
      </c>
      <c r="C40" s="92" t="s">
        <v>9</v>
      </c>
      <c r="D40" s="92" t="s">
        <v>48</v>
      </c>
      <c r="E40" s="92" t="s">
        <v>219</v>
      </c>
      <c r="F40" s="91">
        <v>1</v>
      </c>
      <c r="G40" s="93">
        <v>8211.9</v>
      </c>
      <c r="H40" s="88">
        <f t="shared" si="2"/>
        <v>8211.9</v>
      </c>
      <c r="I40" s="88">
        <f t="shared" si="3"/>
        <v>10018.518</v>
      </c>
      <c r="J40" s="91">
        <v>1</v>
      </c>
      <c r="K40" s="88">
        <v>10000</v>
      </c>
      <c r="L40" s="88">
        <f t="shared" si="4"/>
        <v>10000</v>
      </c>
      <c r="M40" s="88">
        <f t="shared" si="5"/>
        <v>12200</v>
      </c>
      <c r="N40" s="86">
        <v>1</v>
      </c>
      <c r="O40" s="88">
        <v>8211.9</v>
      </c>
      <c r="P40" s="88">
        <v>8211.9</v>
      </c>
      <c r="Q40" s="88">
        <v>10018.518</v>
      </c>
      <c r="R40" s="85">
        <v>2017</v>
      </c>
      <c r="S40" s="74">
        <f t="shared" si="6"/>
        <v>0</v>
      </c>
      <c r="T40" s="53">
        <f t="shared" si="7"/>
        <v>0.17881000000000002</v>
      </c>
      <c r="U40" s="108">
        <v>42843</v>
      </c>
      <c r="V40" s="108">
        <v>42863</v>
      </c>
      <c r="W40" s="108">
        <v>42902</v>
      </c>
      <c r="X40" s="108">
        <v>42929</v>
      </c>
      <c r="Y40" s="86" t="s">
        <v>716</v>
      </c>
      <c r="Z40" s="218" t="s">
        <v>717</v>
      </c>
      <c r="AA40" s="86" t="s">
        <v>718</v>
      </c>
      <c r="AB40" s="85" t="s">
        <v>719</v>
      </c>
      <c r="AC40" s="110" t="s">
        <v>725</v>
      </c>
      <c r="AD40" s="110">
        <v>42951</v>
      </c>
      <c r="AE40" s="86" t="s">
        <v>745</v>
      </c>
      <c r="AF40" s="86" t="s">
        <v>791</v>
      </c>
      <c r="AG40" s="86" t="s">
        <v>1553</v>
      </c>
      <c r="AH40" s="210" t="s">
        <v>8</v>
      </c>
      <c r="AI40" s="91" t="s">
        <v>1541</v>
      </c>
    </row>
    <row r="41" spans="1:35" s="12" customFormat="1" ht="24" x14ac:dyDescent="0.25">
      <c r="A41" s="91">
        <v>39</v>
      </c>
      <c r="B41" s="91" t="s">
        <v>8</v>
      </c>
      <c r="C41" s="92" t="s">
        <v>9</v>
      </c>
      <c r="D41" s="92" t="s">
        <v>48</v>
      </c>
      <c r="E41" s="92" t="s">
        <v>505</v>
      </c>
      <c r="F41" s="91">
        <v>3</v>
      </c>
      <c r="G41" s="93">
        <v>3240</v>
      </c>
      <c r="H41" s="88">
        <f t="shared" si="2"/>
        <v>9720</v>
      </c>
      <c r="I41" s="88">
        <f t="shared" si="3"/>
        <v>11858.4</v>
      </c>
      <c r="J41" s="91">
        <v>3</v>
      </c>
      <c r="K41" s="88">
        <v>4000</v>
      </c>
      <c r="L41" s="88">
        <f t="shared" si="4"/>
        <v>12000</v>
      </c>
      <c r="M41" s="88">
        <f t="shared" si="5"/>
        <v>14640</v>
      </c>
      <c r="N41" s="86">
        <v>3</v>
      </c>
      <c r="O41" s="88">
        <v>3240</v>
      </c>
      <c r="P41" s="88">
        <f>N41*O41</f>
        <v>9720</v>
      </c>
      <c r="Q41" s="88">
        <f>P41*1.22</f>
        <v>11858.4</v>
      </c>
      <c r="R41" s="85">
        <v>2017</v>
      </c>
      <c r="S41" s="74">
        <f t="shared" si="6"/>
        <v>0</v>
      </c>
      <c r="T41" s="53">
        <f t="shared" si="7"/>
        <v>0.19000000000000006</v>
      </c>
      <c r="U41" s="108">
        <v>42732</v>
      </c>
      <c r="V41" s="108">
        <v>42766</v>
      </c>
      <c r="W41" s="108" t="s">
        <v>720</v>
      </c>
      <c r="X41" s="108">
        <v>42885</v>
      </c>
      <c r="Y41" s="86">
        <v>42901</v>
      </c>
      <c r="Z41" s="218" t="s">
        <v>723</v>
      </c>
      <c r="AA41" s="86" t="s">
        <v>721</v>
      </c>
      <c r="AB41" s="85" t="s">
        <v>722</v>
      </c>
      <c r="AC41" s="110">
        <v>42948</v>
      </c>
      <c r="AD41" s="110" t="s">
        <v>850</v>
      </c>
      <c r="AE41" s="86" t="s">
        <v>849</v>
      </c>
      <c r="AF41" s="86" t="s">
        <v>855</v>
      </c>
      <c r="AG41" s="86" t="s">
        <v>1553</v>
      </c>
      <c r="AH41" s="210" t="s">
        <v>8</v>
      </c>
      <c r="AI41" s="91" t="s">
        <v>1541</v>
      </c>
    </row>
    <row r="42" spans="1:35" s="12" customFormat="1" ht="84" x14ac:dyDescent="0.25">
      <c r="A42" s="91">
        <v>40</v>
      </c>
      <c r="B42" s="91" t="s">
        <v>8</v>
      </c>
      <c r="C42" s="92" t="s">
        <v>9</v>
      </c>
      <c r="D42" s="92" t="s">
        <v>25</v>
      </c>
      <c r="E42" s="92" t="s">
        <v>26</v>
      </c>
      <c r="F42" s="91">
        <v>1</v>
      </c>
      <c r="G42" s="93">
        <v>50000</v>
      </c>
      <c r="H42" s="88">
        <f t="shared" si="2"/>
        <v>50000</v>
      </c>
      <c r="I42" s="88">
        <f t="shared" si="3"/>
        <v>61000</v>
      </c>
      <c r="J42" s="91">
        <v>1</v>
      </c>
      <c r="K42" s="88">
        <v>39937.5</v>
      </c>
      <c r="L42" s="88">
        <v>39937.5</v>
      </c>
      <c r="M42" s="88">
        <f t="shared" si="5"/>
        <v>48723.75</v>
      </c>
      <c r="N42" s="86">
        <v>1</v>
      </c>
      <c r="O42" s="88">
        <v>22607.67</v>
      </c>
      <c r="P42" s="88">
        <f>O42*N42</f>
        <v>22607.67</v>
      </c>
      <c r="Q42" s="88">
        <f>P42*1.22</f>
        <v>27581.357399999997</v>
      </c>
      <c r="R42" s="85">
        <v>2020</v>
      </c>
      <c r="S42" s="74">
        <f t="shared" si="6"/>
        <v>33418.642600000006</v>
      </c>
      <c r="T42" s="53">
        <f t="shared" si="7"/>
        <v>0.4339237558685447</v>
      </c>
      <c r="U42" s="108">
        <v>43902</v>
      </c>
      <c r="V42" s="108">
        <v>43921</v>
      </c>
      <c r="W42" s="108">
        <v>44076</v>
      </c>
      <c r="X42" s="108">
        <v>44099</v>
      </c>
      <c r="Y42" s="86" t="s">
        <v>1288</v>
      </c>
      <c r="Z42" s="218" t="s">
        <v>1291</v>
      </c>
      <c r="AA42" s="86" t="s">
        <v>1290</v>
      </c>
      <c r="AB42" s="85" t="s">
        <v>1264</v>
      </c>
      <c r="AC42" s="110" t="s">
        <v>1442</v>
      </c>
      <c r="AD42" s="110" t="s">
        <v>1443</v>
      </c>
      <c r="AE42" s="86" t="s">
        <v>1478</v>
      </c>
      <c r="AF42" s="86" t="s">
        <v>1524</v>
      </c>
      <c r="AG42" s="86" t="s">
        <v>1589</v>
      </c>
      <c r="AH42" s="210" t="s">
        <v>8</v>
      </c>
      <c r="AI42" s="91" t="s">
        <v>1541</v>
      </c>
    </row>
    <row r="43" spans="1:35" s="12" customFormat="1" ht="36" x14ac:dyDescent="0.25">
      <c r="A43" s="91">
        <v>41</v>
      </c>
      <c r="B43" s="91" t="s">
        <v>8</v>
      </c>
      <c r="C43" s="92" t="s">
        <v>9</v>
      </c>
      <c r="D43" s="92" t="s">
        <v>25</v>
      </c>
      <c r="E43" s="92" t="s">
        <v>842</v>
      </c>
      <c r="F43" s="91">
        <v>1</v>
      </c>
      <c r="G43" s="93">
        <v>60000</v>
      </c>
      <c r="H43" s="88">
        <f t="shared" si="2"/>
        <v>60000</v>
      </c>
      <c r="I43" s="88">
        <f t="shared" si="3"/>
        <v>73200</v>
      </c>
      <c r="J43" s="91">
        <v>1</v>
      </c>
      <c r="K43" s="88">
        <f>(4*13175)+(2*5500)+16200</f>
        <v>79900</v>
      </c>
      <c r="L43" s="88">
        <f t="shared" si="4"/>
        <v>79900</v>
      </c>
      <c r="M43" s="88">
        <f t="shared" si="5"/>
        <v>97478</v>
      </c>
      <c r="N43" s="86">
        <v>1</v>
      </c>
      <c r="O43" s="88">
        <f>(11875.25*4)+(4892.89*2)+22571.85</f>
        <v>79858.63</v>
      </c>
      <c r="P43" s="88">
        <f>O43*N43</f>
        <v>79858.63</v>
      </c>
      <c r="Q43" s="88">
        <f>P43</f>
        <v>79858.63</v>
      </c>
      <c r="R43" s="85">
        <v>2020</v>
      </c>
      <c r="S43" s="74">
        <f t="shared" si="6"/>
        <v>-6658.6300000000047</v>
      </c>
      <c r="T43" s="53">
        <f t="shared" si="7"/>
        <v>0.18075227230759761</v>
      </c>
      <c r="U43" s="108">
        <v>43678</v>
      </c>
      <c r="V43" s="108">
        <v>43735</v>
      </c>
      <c r="W43" s="108">
        <v>44110</v>
      </c>
      <c r="X43" s="108">
        <v>44116</v>
      </c>
      <c r="Y43" s="86" t="s">
        <v>1448</v>
      </c>
      <c r="Z43" s="218" t="s">
        <v>1449</v>
      </c>
      <c r="AA43" s="86">
        <v>7970587079</v>
      </c>
      <c r="AB43" s="85" t="s">
        <v>1485</v>
      </c>
      <c r="AC43" s="110" t="s">
        <v>1450</v>
      </c>
      <c r="AD43" s="110">
        <v>44193</v>
      </c>
      <c r="AE43" s="86" t="s">
        <v>1481</v>
      </c>
      <c r="AF43" s="86" t="s">
        <v>1521</v>
      </c>
      <c r="AG43" s="86" t="s">
        <v>1589</v>
      </c>
      <c r="AH43" s="210" t="s">
        <v>1546</v>
      </c>
      <c r="AI43" s="91" t="s">
        <v>1541</v>
      </c>
    </row>
    <row r="44" spans="1:35" ht="63" customHeight="1" x14ac:dyDescent="0.25">
      <c r="A44" s="6">
        <v>42</v>
      </c>
      <c r="B44" s="40" t="s">
        <v>8</v>
      </c>
      <c r="C44" s="39" t="s">
        <v>9</v>
      </c>
      <c r="D44" s="39" t="s">
        <v>39</v>
      </c>
      <c r="E44" s="39" t="s">
        <v>40</v>
      </c>
      <c r="F44" s="40">
        <v>1</v>
      </c>
      <c r="G44" s="41">
        <v>840000</v>
      </c>
      <c r="H44" s="41">
        <f t="shared" si="2"/>
        <v>840000</v>
      </c>
      <c r="I44" s="41">
        <f t="shared" si="3"/>
        <v>1024800</v>
      </c>
      <c r="J44" s="40">
        <v>1</v>
      </c>
      <c r="K44" s="41">
        <v>865556.68</v>
      </c>
      <c r="L44" s="41">
        <f t="shared" si="4"/>
        <v>865556.68</v>
      </c>
      <c r="M44" s="41">
        <f>L44*1.22+17271.13</f>
        <v>1073250.2796</v>
      </c>
      <c r="N44" s="40">
        <v>1</v>
      </c>
      <c r="O44" s="41">
        <v>910118.46</v>
      </c>
      <c r="P44" s="41">
        <f>N44*O44</f>
        <v>910118.46</v>
      </c>
      <c r="Q44" s="41">
        <f>829500+138214.52</f>
        <v>967714.52</v>
      </c>
      <c r="R44" s="38">
        <v>2019</v>
      </c>
      <c r="S44" s="74">
        <f t="shared" si="6"/>
        <v>57085.479999999981</v>
      </c>
      <c r="T44" s="53">
        <f t="shared" si="7"/>
        <v>9.8332850786056247E-2</v>
      </c>
      <c r="U44" s="57">
        <v>43455</v>
      </c>
      <c r="V44" s="57">
        <v>43511</v>
      </c>
      <c r="W44" s="57">
        <v>43774</v>
      </c>
      <c r="X44" s="57">
        <v>43789</v>
      </c>
      <c r="Y44" s="40" t="s">
        <v>1630</v>
      </c>
      <c r="Z44" s="113" t="s">
        <v>2061</v>
      </c>
      <c r="AA44" s="40" t="s">
        <v>1636</v>
      </c>
      <c r="AB44" s="40" t="s">
        <v>2060</v>
      </c>
      <c r="AC44" s="57">
        <v>44585</v>
      </c>
      <c r="AD44" s="57">
        <v>44722</v>
      </c>
      <c r="AE44" s="40" t="s">
        <v>1909</v>
      </c>
      <c r="AF44" s="40" t="s">
        <v>1908</v>
      </c>
      <c r="AG44" s="38"/>
      <c r="AH44" s="89" t="s">
        <v>1546</v>
      </c>
      <c r="AI44" s="6" t="s">
        <v>2022</v>
      </c>
    </row>
    <row r="45" spans="1:35" s="12" customFormat="1" ht="24" x14ac:dyDescent="0.25">
      <c r="A45" s="91">
        <v>43</v>
      </c>
      <c r="B45" s="91" t="s">
        <v>8</v>
      </c>
      <c r="C45" s="92" t="s">
        <v>9</v>
      </c>
      <c r="D45" s="92" t="s">
        <v>39</v>
      </c>
      <c r="E45" s="92" t="s">
        <v>503</v>
      </c>
      <c r="F45" s="91">
        <v>1</v>
      </c>
      <c r="G45" s="93">
        <v>70000</v>
      </c>
      <c r="H45" s="88">
        <f t="shared" si="2"/>
        <v>70000</v>
      </c>
      <c r="I45" s="88">
        <f t="shared" si="3"/>
        <v>85400</v>
      </c>
      <c r="J45" s="91">
        <v>1</v>
      </c>
      <c r="K45" s="88">
        <v>60000</v>
      </c>
      <c r="L45" s="88">
        <f t="shared" si="4"/>
        <v>60000</v>
      </c>
      <c r="M45" s="88">
        <f t="shared" si="5"/>
        <v>73200</v>
      </c>
      <c r="N45" s="86">
        <v>1</v>
      </c>
      <c r="O45" s="88">
        <v>59820</v>
      </c>
      <c r="P45" s="88">
        <f>O45*N45</f>
        <v>59820</v>
      </c>
      <c r="Q45" s="88">
        <f>P45*1.05</f>
        <v>62811</v>
      </c>
      <c r="R45" s="85">
        <v>2020</v>
      </c>
      <c r="S45" s="74">
        <f t="shared" si="6"/>
        <v>22589</v>
      </c>
      <c r="T45" s="53">
        <f t="shared" si="7"/>
        <v>0.14192622950819667</v>
      </c>
      <c r="U45" s="108">
        <v>43678</v>
      </c>
      <c r="V45" s="108">
        <v>43735</v>
      </c>
      <c r="W45" s="108">
        <v>44110</v>
      </c>
      <c r="X45" s="108">
        <v>44116</v>
      </c>
      <c r="Y45" s="86" t="s">
        <v>1453</v>
      </c>
      <c r="Z45" s="218" t="s">
        <v>1451</v>
      </c>
      <c r="AA45" s="86" t="s">
        <v>1452</v>
      </c>
      <c r="AB45" s="85" t="s">
        <v>1485</v>
      </c>
      <c r="AC45" s="110">
        <v>44266</v>
      </c>
      <c r="AD45" s="110">
        <v>44271</v>
      </c>
      <c r="AE45" s="86" t="s">
        <v>1578</v>
      </c>
      <c r="AF45" s="86" t="s">
        <v>1596</v>
      </c>
      <c r="AG45" s="86" t="s">
        <v>1589</v>
      </c>
      <c r="AH45" s="210" t="s">
        <v>1546</v>
      </c>
      <c r="AI45" s="91" t="s">
        <v>1541</v>
      </c>
    </row>
    <row r="46" spans="1:35" ht="24" x14ac:dyDescent="0.25">
      <c r="A46" s="91">
        <v>44</v>
      </c>
      <c r="B46" s="91" t="s">
        <v>8</v>
      </c>
      <c r="C46" s="92" t="s">
        <v>9</v>
      </c>
      <c r="D46" s="92" t="s">
        <v>39</v>
      </c>
      <c r="E46" s="92" t="s">
        <v>561</v>
      </c>
      <c r="F46" s="91">
        <v>1</v>
      </c>
      <c r="G46" s="93">
        <v>4000</v>
      </c>
      <c r="H46" s="88">
        <f t="shared" si="2"/>
        <v>4000</v>
      </c>
      <c r="I46" s="88">
        <f t="shared" si="3"/>
        <v>4880</v>
      </c>
      <c r="J46" s="91">
        <v>1</v>
      </c>
      <c r="K46" s="88">
        <v>4000</v>
      </c>
      <c r="L46" s="88">
        <f t="shared" si="4"/>
        <v>4000</v>
      </c>
      <c r="M46" s="88">
        <f t="shared" si="5"/>
        <v>4880</v>
      </c>
      <c r="N46" s="86">
        <v>1</v>
      </c>
      <c r="O46" s="88">
        <v>3950</v>
      </c>
      <c r="P46" s="88">
        <v>3950</v>
      </c>
      <c r="Q46" s="88">
        <v>4819</v>
      </c>
      <c r="R46" s="85">
        <v>2017</v>
      </c>
      <c r="S46" s="74">
        <f t="shared" si="6"/>
        <v>61</v>
      </c>
      <c r="T46" s="53">
        <f t="shared" si="7"/>
        <v>1.2499999999999956E-2</v>
      </c>
      <c r="U46" s="108">
        <v>42761</v>
      </c>
      <c r="V46" s="108">
        <v>42782</v>
      </c>
      <c r="W46" s="108">
        <v>42782</v>
      </c>
      <c r="X46" s="108">
        <v>42787</v>
      </c>
      <c r="Y46" s="86" t="s">
        <v>825</v>
      </c>
      <c r="Z46" s="218" t="s">
        <v>826</v>
      </c>
      <c r="AA46" s="86" t="s">
        <v>827</v>
      </c>
      <c r="AB46" s="85" t="s">
        <v>121</v>
      </c>
      <c r="AC46" s="110">
        <v>42803</v>
      </c>
      <c r="AD46" s="110">
        <v>42803</v>
      </c>
      <c r="AE46" s="86" t="s">
        <v>828</v>
      </c>
      <c r="AF46" s="86" t="s">
        <v>829</v>
      </c>
      <c r="AG46" s="86" t="s">
        <v>1553</v>
      </c>
      <c r="AH46" s="210" t="s">
        <v>8</v>
      </c>
      <c r="AI46" s="91" t="s">
        <v>1541</v>
      </c>
    </row>
    <row r="47" spans="1:35" s="12" customFormat="1" ht="24" x14ac:dyDescent="0.25">
      <c r="A47" s="91">
        <v>45</v>
      </c>
      <c r="B47" s="91" t="s">
        <v>8</v>
      </c>
      <c r="C47" s="92" t="s">
        <v>9</v>
      </c>
      <c r="D47" s="92" t="s">
        <v>39</v>
      </c>
      <c r="E47" s="92" t="s">
        <v>210</v>
      </c>
      <c r="F47" s="91">
        <v>2</v>
      </c>
      <c r="G47" s="93">
        <v>65000</v>
      </c>
      <c r="H47" s="88">
        <f t="shared" si="2"/>
        <v>130000</v>
      </c>
      <c r="I47" s="88">
        <f t="shared" si="3"/>
        <v>158600</v>
      </c>
      <c r="J47" s="91">
        <v>2</v>
      </c>
      <c r="K47" s="88">
        <v>95000</v>
      </c>
      <c r="L47" s="88">
        <f t="shared" si="4"/>
        <v>190000</v>
      </c>
      <c r="M47" s="88">
        <f t="shared" si="5"/>
        <v>231800</v>
      </c>
      <c r="N47" s="86">
        <v>2</v>
      </c>
      <c r="O47" s="88">
        <v>65000</v>
      </c>
      <c r="P47" s="88">
        <v>130000</v>
      </c>
      <c r="Q47" s="88">
        <v>158600</v>
      </c>
      <c r="R47" s="85">
        <v>2016</v>
      </c>
      <c r="S47" s="74">
        <f t="shared" si="6"/>
        <v>0</v>
      </c>
      <c r="T47" s="53">
        <f t="shared" si="7"/>
        <v>0.31578947368421051</v>
      </c>
      <c r="U47" s="108">
        <v>42320</v>
      </c>
      <c r="V47" s="108">
        <v>42395</v>
      </c>
      <c r="W47" s="108">
        <v>42663</v>
      </c>
      <c r="X47" s="108">
        <v>42718</v>
      </c>
      <c r="Y47" s="86" t="s">
        <v>121</v>
      </c>
      <c r="Z47" s="218" t="s">
        <v>695</v>
      </c>
      <c r="AA47" s="86" t="s">
        <v>694</v>
      </c>
      <c r="AB47" s="85" t="s">
        <v>697</v>
      </c>
      <c r="AC47" s="110">
        <v>42747</v>
      </c>
      <c r="AD47" s="110">
        <v>42769</v>
      </c>
      <c r="AE47" s="86" t="s">
        <v>696</v>
      </c>
      <c r="AF47" s="86" t="s">
        <v>739</v>
      </c>
      <c r="AG47" s="86" t="s">
        <v>1553</v>
      </c>
      <c r="AH47" s="210" t="s">
        <v>8</v>
      </c>
      <c r="AI47" s="91" t="s">
        <v>1541</v>
      </c>
    </row>
    <row r="48" spans="1:35" s="12" customFormat="1" ht="24" x14ac:dyDescent="0.25">
      <c r="A48" s="91">
        <v>46</v>
      </c>
      <c r="B48" s="91" t="s">
        <v>8</v>
      </c>
      <c r="C48" s="92" t="s">
        <v>9</v>
      </c>
      <c r="D48" s="92" t="s">
        <v>39</v>
      </c>
      <c r="E48" s="92" t="s">
        <v>637</v>
      </c>
      <c r="F48" s="91">
        <v>1</v>
      </c>
      <c r="G48" s="93">
        <v>1999</v>
      </c>
      <c r="H48" s="88">
        <f t="shared" si="2"/>
        <v>1999</v>
      </c>
      <c r="I48" s="88">
        <f>H48*1.22</f>
        <v>2438.7799999999997</v>
      </c>
      <c r="J48" s="91">
        <v>1</v>
      </c>
      <c r="K48" s="88">
        <v>2000</v>
      </c>
      <c r="L48" s="88">
        <f t="shared" ref="L48:L50" si="18">J48*K48</f>
        <v>2000</v>
      </c>
      <c r="M48" s="88">
        <f>L48*1.22</f>
        <v>2440</v>
      </c>
      <c r="N48" s="86">
        <v>1</v>
      </c>
      <c r="O48" s="88">
        <v>1999</v>
      </c>
      <c r="P48" s="88">
        <v>1999</v>
      </c>
      <c r="Q48" s="88">
        <v>2438.7799999999997</v>
      </c>
      <c r="R48" s="85">
        <v>2017</v>
      </c>
      <c r="S48" s="74">
        <f t="shared" si="6"/>
        <v>0</v>
      </c>
      <c r="T48" s="53">
        <f t="shared" si="7"/>
        <v>5.0000000000005596E-4</v>
      </c>
      <c r="U48" s="108">
        <v>42818</v>
      </c>
      <c r="V48" s="108">
        <v>42835</v>
      </c>
      <c r="W48" s="108">
        <v>42835</v>
      </c>
      <c r="X48" s="108">
        <v>42843</v>
      </c>
      <c r="Y48" s="86" t="s">
        <v>705</v>
      </c>
      <c r="Z48" s="218" t="s">
        <v>706</v>
      </c>
      <c r="AA48" s="86" t="s">
        <v>683</v>
      </c>
      <c r="AB48" s="85" t="s">
        <v>121</v>
      </c>
      <c r="AC48" s="110">
        <v>42872</v>
      </c>
      <c r="AD48" s="110">
        <v>42872</v>
      </c>
      <c r="AE48" s="86" t="s">
        <v>730</v>
      </c>
      <c r="AF48" s="86" t="s">
        <v>741</v>
      </c>
      <c r="AG48" s="86" t="s">
        <v>1553</v>
      </c>
      <c r="AH48" s="210" t="s">
        <v>8</v>
      </c>
      <c r="AI48" s="91" t="s">
        <v>1541</v>
      </c>
    </row>
    <row r="49" spans="1:35" s="12" customFormat="1" ht="24" x14ac:dyDescent="0.25">
      <c r="A49" s="91">
        <v>47</v>
      </c>
      <c r="B49" s="91" t="s">
        <v>8</v>
      </c>
      <c r="C49" s="92" t="s">
        <v>9</v>
      </c>
      <c r="D49" s="92" t="s">
        <v>39</v>
      </c>
      <c r="E49" s="92" t="s">
        <v>637</v>
      </c>
      <c r="F49" s="91">
        <v>1</v>
      </c>
      <c r="G49" s="93">
        <v>2499</v>
      </c>
      <c r="H49" s="88">
        <f t="shared" si="2"/>
        <v>2499</v>
      </c>
      <c r="I49" s="88">
        <f>H49*1.22</f>
        <v>3048.7799999999997</v>
      </c>
      <c r="J49" s="91">
        <v>1</v>
      </c>
      <c r="K49" s="88">
        <v>2500</v>
      </c>
      <c r="L49" s="88">
        <f t="shared" si="18"/>
        <v>2500</v>
      </c>
      <c r="M49" s="88">
        <f>L49*1.22</f>
        <v>3050</v>
      </c>
      <c r="N49" s="86">
        <v>1</v>
      </c>
      <c r="O49" s="88">
        <v>2499</v>
      </c>
      <c r="P49" s="88">
        <v>2499</v>
      </c>
      <c r="Q49" s="88">
        <v>3048.7799999999997</v>
      </c>
      <c r="R49" s="85">
        <v>2017</v>
      </c>
      <c r="S49" s="74">
        <f t="shared" si="6"/>
        <v>0</v>
      </c>
      <c r="T49" s="53">
        <f t="shared" si="7"/>
        <v>4.0000000000006697E-4</v>
      </c>
      <c r="U49" s="108">
        <v>42818</v>
      </c>
      <c r="V49" s="108">
        <v>42835</v>
      </c>
      <c r="W49" s="108">
        <v>42835</v>
      </c>
      <c r="X49" s="108">
        <v>42843</v>
      </c>
      <c r="Y49" s="86" t="s">
        <v>705</v>
      </c>
      <c r="Z49" s="218" t="s">
        <v>706</v>
      </c>
      <c r="AA49" s="86" t="s">
        <v>683</v>
      </c>
      <c r="AB49" s="85" t="s">
        <v>121</v>
      </c>
      <c r="AC49" s="110">
        <v>42872</v>
      </c>
      <c r="AD49" s="110">
        <v>42872</v>
      </c>
      <c r="AE49" s="86" t="s">
        <v>730</v>
      </c>
      <c r="AF49" s="86" t="s">
        <v>741</v>
      </c>
      <c r="AG49" s="86" t="s">
        <v>1553</v>
      </c>
      <c r="AH49" s="210" t="s">
        <v>8</v>
      </c>
      <c r="AI49" s="91" t="s">
        <v>1541</v>
      </c>
    </row>
    <row r="50" spans="1:35" s="12" customFormat="1" ht="24" x14ac:dyDescent="0.25">
      <c r="A50" s="91">
        <v>48</v>
      </c>
      <c r="B50" s="91" t="s">
        <v>8</v>
      </c>
      <c r="C50" s="92" t="s">
        <v>9</v>
      </c>
      <c r="D50" s="92" t="s">
        <v>39</v>
      </c>
      <c r="E50" s="92" t="s">
        <v>684</v>
      </c>
      <c r="F50" s="91">
        <v>1</v>
      </c>
      <c r="G50" s="93">
        <v>11703.28</v>
      </c>
      <c r="H50" s="88">
        <f t="shared" si="2"/>
        <v>11703.28</v>
      </c>
      <c r="I50" s="88">
        <f>H50*1.22</f>
        <v>14278.0016</v>
      </c>
      <c r="J50" s="91">
        <v>1</v>
      </c>
      <c r="K50" s="88">
        <v>11803.28</v>
      </c>
      <c r="L50" s="88">
        <f t="shared" si="18"/>
        <v>11803.28</v>
      </c>
      <c r="M50" s="88">
        <f>L50*1.22</f>
        <v>14400.0016</v>
      </c>
      <c r="N50" s="86">
        <v>1</v>
      </c>
      <c r="O50" s="88">
        <v>11703.28</v>
      </c>
      <c r="P50" s="88">
        <v>11703.28</v>
      </c>
      <c r="Q50" s="88">
        <v>14278.0016</v>
      </c>
      <c r="R50" s="85">
        <v>2017</v>
      </c>
      <c r="S50" s="74">
        <f t="shared" si="6"/>
        <v>0</v>
      </c>
      <c r="T50" s="53">
        <f t="shared" si="7"/>
        <v>8.4722212808643338E-3</v>
      </c>
      <c r="U50" s="108">
        <v>42830</v>
      </c>
      <c r="V50" s="108">
        <v>42845</v>
      </c>
      <c r="W50" s="108">
        <v>42846</v>
      </c>
      <c r="X50" s="108">
        <v>42846</v>
      </c>
      <c r="Y50" s="86" t="s">
        <v>733</v>
      </c>
      <c r="Z50" s="218" t="s">
        <v>734</v>
      </c>
      <c r="AA50" s="86" t="s">
        <v>685</v>
      </c>
      <c r="AB50" s="85" t="s">
        <v>865</v>
      </c>
      <c r="AC50" s="110">
        <v>42906</v>
      </c>
      <c r="AD50" s="110" t="s">
        <v>754</v>
      </c>
      <c r="AE50" s="86" t="s">
        <v>735</v>
      </c>
      <c r="AF50" s="86" t="s">
        <v>799</v>
      </c>
      <c r="AG50" s="86" t="s">
        <v>1553</v>
      </c>
      <c r="AH50" s="210" t="s">
        <v>8</v>
      </c>
      <c r="AI50" s="91" t="s">
        <v>1541</v>
      </c>
    </row>
    <row r="51" spans="1:35" s="12" customFormat="1" ht="24" x14ac:dyDescent="0.25">
      <c r="A51" s="91">
        <v>49</v>
      </c>
      <c r="B51" s="91" t="s">
        <v>8</v>
      </c>
      <c r="C51" s="92" t="s">
        <v>9</v>
      </c>
      <c r="D51" s="92" t="s">
        <v>39</v>
      </c>
      <c r="E51" s="92" t="s">
        <v>746</v>
      </c>
      <c r="F51" s="91">
        <v>1</v>
      </c>
      <c r="G51" s="93">
        <v>1000</v>
      </c>
      <c r="H51" s="88">
        <f t="shared" si="2"/>
        <v>1000</v>
      </c>
      <c r="I51" s="88">
        <f>H51*1.22</f>
        <v>1220</v>
      </c>
      <c r="J51" s="91">
        <v>1</v>
      </c>
      <c r="K51" s="88">
        <v>1000</v>
      </c>
      <c r="L51" s="88">
        <f>J51*K51</f>
        <v>1000</v>
      </c>
      <c r="M51" s="88">
        <f>L51*1.22</f>
        <v>1220</v>
      </c>
      <c r="N51" s="86">
        <v>1</v>
      </c>
      <c r="O51" s="88">
        <v>1000</v>
      </c>
      <c r="P51" s="88">
        <v>1000</v>
      </c>
      <c r="Q51" s="88">
        <v>1220</v>
      </c>
      <c r="R51" s="85">
        <v>2017</v>
      </c>
      <c r="S51" s="74">
        <f t="shared" si="6"/>
        <v>0</v>
      </c>
      <c r="T51" s="53">
        <f t="shared" si="7"/>
        <v>0</v>
      </c>
      <c r="U51" s="108">
        <v>42958</v>
      </c>
      <c r="V51" s="108">
        <v>42997</v>
      </c>
      <c r="W51" s="108">
        <v>42998</v>
      </c>
      <c r="X51" s="108">
        <v>43014</v>
      </c>
      <c r="Y51" s="86" t="s">
        <v>749</v>
      </c>
      <c r="Z51" s="218" t="s">
        <v>750</v>
      </c>
      <c r="AA51" s="86" t="s">
        <v>748</v>
      </c>
      <c r="AB51" s="85" t="s">
        <v>121</v>
      </c>
      <c r="AC51" s="110">
        <v>43026</v>
      </c>
      <c r="AD51" s="110">
        <v>43046</v>
      </c>
      <c r="AE51" s="86" t="s">
        <v>758</v>
      </c>
      <c r="AF51" s="86" t="s">
        <v>800</v>
      </c>
      <c r="AG51" s="86" t="s">
        <v>1553</v>
      </c>
      <c r="AH51" s="210" t="s">
        <v>8</v>
      </c>
      <c r="AI51" s="91" t="s">
        <v>1541</v>
      </c>
    </row>
    <row r="52" spans="1:35" s="12" customFormat="1" ht="24" x14ac:dyDescent="0.25">
      <c r="A52" s="91">
        <v>50</v>
      </c>
      <c r="B52" s="91" t="s">
        <v>8</v>
      </c>
      <c r="C52" s="92" t="s">
        <v>9</v>
      </c>
      <c r="D52" s="92" t="s">
        <v>231</v>
      </c>
      <c r="E52" s="92" t="s">
        <v>637</v>
      </c>
      <c r="F52" s="91">
        <v>1</v>
      </c>
      <c r="G52" s="93">
        <v>5500</v>
      </c>
      <c r="H52" s="88">
        <f t="shared" si="2"/>
        <v>5500</v>
      </c>
      <c r="I52" s="88">
        <f>H52*1.22</f>
        <v>6710</v>
      </c>
      <c r="J52" s="91">
        <v>1</v>
      </c>
      <c r="K52" s="88">
        <v>5500</v>
      </c>
      <c r="L52" s="88">
        <f>J52*K52</f>
        <v>5500</v>
      </c>
      <c r="M52" s="88">
        <f>L52*1.22</f>
        <v>6710</v>
      </c>
      <c r="N52" s="86">
        <v>1</v>
      </c>
      <c r="O52" s="88">
        <v>5500</v>
      </c>
      <c r="P52" s="88">
        <v>5500</v>
      </c>
      <c r="Q52" s="88">
        <v>6710</v>
      </c>
      <c r="R52" s="85">
        <v>2017</v>
      </c>
      <c r="S52" s="74">
        <f t="shared" si="6"/>
        <v>0</v>
      </c>
      <c r="T52" s="53">
        <f t="shared" si="7"/>
        <v>0</v>
      </c>
      <c r="U52" s="108">
        <v>42958</v>
      </c>
      <c r="V52" s="108">
        <v>42997</v>
      </c>
      <c r="W52" s="108">
        <v>42998</v>
      </c>
      <c r="X52" s="108">
        <v>43014</v>
      </c>
      <c r="Y52" s="86" t="s">
        <v>749</v>
      </c>
      <c r="Z52" s="218" t="s">
        <v>750</v>
      </c>
      <c r="AA52" s="86" t="s">
        <v>748</v>
      </c>
      <c r="AB52" s="85" t="s">
        <v>121</v>
      </c>
      <c r="AC52" s="110">
        <v>43026</v>
      </c>
      <c r="AD52" s="110">
        <v>43074</v>
      </c>
      <c r="AE52" s="86" t="s">
        <v>758</v>
      </c>
      <c r="AF52" s="86" t="s">
        <v>800</v>
      </c>
      <c r="AG52" s="86" t="s">
        <v>1553</v>
      </c>
      <c r="AH52" s="210" t="s">
        <v>8</v>
      </c>
      <c r="AI52" s="91" t="s">
        <v>1541</v>
      </c>
    </row>
    <row r="53" spans="1:35" s="12" customFormat="1" ht="24" x14ac:dyDescent="0.25">
      <c r="A53" s="91">
        <v>51</v>
      </c>
      <c r="B53" s="91" t="s">
        <v>8</v>
      </c>
      <c r="C53" s="92" t="s">
        <v>9</v>
      </c>
      <c r="D53" s="92" t="s">
        <v>28</v>
      </c>
      <c r="E53" s="92" t="s">
        <v>500</v>
      </c>
      <c r="F53" s="91">
        <v>13</v>
      </c>
      <c r="G53" s="93">
        <v>8500</v>
      </c>
      <c r="H53" s="88">
        <f t="shared" si="2"/>
        <v>110500</v>
      </c>
      <c r="I53" s="88">
        <f t="shared" si="3"/>
        <v>134810</v>
      </c>
      <c r="J53" s="91">
        <v>12</v>
      </c>
      <c r="K53" s="88">
        <f>130000/15</f>
        <v>8666.6666666666661</v>
      </c>
      <c r="L53" s="88">
        <f t="shared" ref="L53:L54" si="19">J53*K53</f>
        <v>104000</v>
      </c>
      <c r="M53" s="88">
        <f t="shared" si="5"/>
        <v>126880</v>
      </c>
      <c r="N53" s="86">
        <v>12</v>
      </c>
      <c r="O53" s="88">
        <v>8660</v>
      </c>
      <c r="P53" s="88">
        <f>O53*N53</f>
        <v>103920</v>
      </c>
      <c r="Q53" s="88">
        <f>P53</f>
        <v>103920</v>
      </c>
      <c r="R53" s="85">
        <v>2020</v>
      </c>
      <c r="S53" s="74">
        <f t="shared" si="6"/>
        <v>30890</v>
      </c>
      <c r="T53" s="53">
        <f t="shared" si="7"/>
        <v>0.18095838587641866</v>
      </c>
      <c r="U53" s="108">
        <v>43678</v>
      </c>
      <c r="V53" s="108">
        <v>43735</v>
      </c>
      <c r="W53" s="108">
        <v>44110</v>
      </c>
      <c r="X53" s="108">
        <v>44116</v>
      </c>
      <c r="Y53" s="86" t="s">
        <v>1454</v>
      </c>
      <c r="Z53" s="218" t="s">
        <v>1455</v>
      </c>
      <c r="AA53" s="86">
        <v>7970577836</v>
      </c>
      <c r="AB53" s="85" t="s">
        <v>1485</v>
      </c>
      <c r="AC53" s="110">
        <v>44195</v>
      </c>
      <c r="AD53" s="110">
        <v>44223</v>
      </c>
      <c r="AE53" s="86" t="s">
        <v>1554</v>
      </c>
      <c r="AF53" s="86" t="s">
        <v>1597</v>
      </c>
      <c r="AG53" s="86" t="s">
        <v>1589</v>
      </c>
      <c r="AH53" s="210" t="s">
        <v>1546</v>
      </c>
      <c r="AI53" s="91" t="s">
        <v>1541</v>
      </c>
    </row>
    <row r="54" spans="1:35" s="44" customFormat="1" ht="12" x14ac:dyDescent="0.25">
      <c r="A54" s="6">
        <v>52</v>
      </c>
      <c r="B54" s="40" t="s">
        <v>8</v>
      </c>
      <c r="C54" s="39" t="s">
        <v>9</v>
      </c>
      <c r="D54" s="39" t="s">
        <v>28</v>
      </c>
      <c r="E54" s="39" t="s">
        <v>31</v>
      </c>
      <c r="F54" s="69">
        <v>4</v>
      </c>
      <c r="G54" s="89">
        <v>10467.34</v>
      </c>
      <c r="H54" s="41">
        <f t="shared" si="2"/>
        <v>41869.360000000001</v>
      </c>
      <c r="I54" s="41">
        <f t="shared" si="3"/>
        <v>51080.619200000001</v>
      </c>
      <c r="J54" s="40"/>
      <c r="K54" s="41"/>
      <c r="L54" s="41">
        <f t="shared" si="19"/>
        <v>0</v>
      </c>
      <c r="M54" s="7">
        <f>L54*1.22</f>
        <v>0</v>
      </c>
      <c r="N54" s="40"/>
      <c r="O54" s="41"/>
      <c r="P54" s="41">
        <v>0</v>
      </c>
      <c r="Q54" s="41">
        <v>0</v>
      </c>
      <c r="R54" s="38"/>
      <c r="S54" s="74">
        <f t="shared" si="6"/>
        <v>51080.619200000001</v>
      </c>
      <c r="T54" s="53" t="e">
        <f t="shared" si="7"/>
        <v>#DIV/0!</v>
      </c>
      <c r="U54" s="38"/>
      <c r="V54" s="38"/>
      <c r="W54" s="38"/>
      <c r="X54" s="38"/>
      <c r="Y54" s="38"/>
      <c r="Z54" s="113"/>
      <c r="AA54" s="38"/>
      <c r="AB54" s="38"/>
      <c r="AC54" s="38"/>
      <c r="AD54" s="38"/>
      <c r="AE54" s="38"/>
      <c r="AF54" s="40"/>
      <c r="AG54" s="38"/>
      <c r="AH54" s="89" t="s">
        <v>8</v>
      </c>
      <c r="AI54" s="6" t="s">
        <v>1547</v>
      </c>
    </row>
    <row r="55" spans="1:35" ht="20.25" customHeight="1" x14ac:dyDescent="0.25">
      <c r="A55" s="91">
        <v>53</v>
      </c>
      <c r="B55" s="91" t="s">
        <v>8</v>
      </c>
      <c r="C55" s="92" t="s">
        <v>9</v>
      </c>
      <c r="D55" s="92" t="s">
        <v>28</v>
      </c>
      <c r="E55" s="92" t="s">
        <v>32</v>
      </c>
      <c r="F55" s="91">
        <v>1</v>
      </c>
      <c r="G55" s="93">
        <v>114232.95</v>
      </c>
      <c r="H55" s="88">
        <f t="shared" si="2"/>
        <v>114232.95</v>
      </c>
      <c r="I55" s="88">
        <f t="shared" si="3"/>
        <v>139364.19899999999</v>
      </c>
      <c r="J55" s="91">
        <v>1</v>
      </c>
      <c r="K55" s="88">
        <v>120000</v>
      </c>
      <c r="L55" s="88">
        <f t="shared" si="4"/>
        <v>120000</v>
      </c>
      <c r="M55" s="88">
        <f t="shared" si="5"/>
        <v>146400</v>
      </c>
      <c r="N55" s="86">
        <v>1</v>
      </c>
      <c r="O55" s="88">
        <v>114232.95</v>
      </c>
      <c r="P55" s="88">
        <v>114232.95</v>
      </c>
      <c r="Q55" s="88">
        <v>139364.19899999999</v>
      </c>
      <c r="R55" s="85">
        <v>2017</v>
      </c>
      <c r="S55" s="74">
        <f t="shared" si="6"/>
        <v>0</v>
      </c>
      <c r="T55" s="53">
        <f t="shared" si="7"/>
        <v>4.8058750000000039E-2</v>
      </c>
      <c r="U55" s="108">
        <v>42872</v>
      </c>
      <c r="V55" s="108">
        <v>42898</v>
      </c>
      <c r="W55" s="108">
        <v>42898</v>
      </c>
      <c r="X55" s="108">
        <v>43133</v>
      </c>
      <c r="Y55" s="86">
        <v>43133</v>
      </c>
      <c r="Z55" s="218" t="s">
        <v>882</v>
      </c>
      <c r="AA55" s="86" t="s">
        <v>702</v>
      </c>
      <c r="AB55" s="85" t="s">
        <v>883</v>
      </c>
      <c r="AC55" s="110">
        <v>43369</v>
      </c>
      <c r="AD55" s="110">
        <v>43369</v>
      </c>
      <c r="AE55" s="86" t="s">
        <v>927</v>
      </c>
      <c r="AF55" s="86" t="s">
        <v>953</v>
      </c>
      <c r="AG55" s="86" t="s">
        <v>1553</v>
      </c>
      <c r="AH55" s="210" t="s">
        <v>8</v>
      </c>
      <c r="AI55" s="91" t="s">
        <v>1541</v>
      </c>
    </row>
    <row r="56" spans="1:35" s="12" customFormat="1" ht="24" x14ac:dyDescent="0.25">
      <c r="A56" s="91">
        <v>54</v>
      </c>
      <c r="B56" s="91" t="s">
        <v>8</v>
      </c>
      <c r="C56" s="92" t="s">
        <v>9</v>
      </c>
      <c r="D56" s="92" t="s">
        <v>28</v>
      </c>
      <c r="E56" s="92" t="s">
        <v>38</v>
      </c>
      <c r="F56" s="91">
        <v>1</v>
      </c>
      <c r="G56" s="93">
        <v>31667.5</v>
      </c>
      <c r="H56" s="88">
        <f t="shared" si="2"/>
        <v>31667.5</v>
      </c>
      <c r="I56" s="88">
        <f t="shared" si="3"/>
        <v>38634.35</v>
      </c>
      <c r="J56" s="91">
        <v>1</v>
      </c>
      <c r="K56" s="88">
        <v>45000</v>
      </c>
      <c r="L56" s="88">
        <f t="shared" si="4"/>
        <v>45000</v>
      </c>
      <c r="M56" s="88">
        <f t="shared" si="5"/>
        <v>54900</v>
      </c>
      <c r="N56" s="86">
        <v>1</v>
      </c>
      <c r="O56" s="88">
        <v>31667.5</v>
      </c>
      <c r="P56" s="88">
        <v>31667.5</v>
      </c>
      <c r="Q56" s="88">
        <v>38634.35</v>
      </c>
      <c r="R56" s="85">
        <v>2016</v>
      </c>
      <c r="S56" s="74">
        <f t="shared" si="6"/>
        <v>0</v>
      </c>
      <c r="T56" s="53">
        <f t="shared" si="7"/>
        <v>0.29627777777777775</v>
      </c>
      <c r="U56" s="108">
        <v>42606</v>
      </c>
      <c r="V56" s="108">
        <v>42657</v>
      </c>
      <c r="W56" s="108">
        <v>42683</v>
      </c>
      <c r="X56" s="108">
        <v>42719</v>
      </c>
      <c r="Y56" s="86">
        <v>42723</v>
      </c>
      <c r="Z56" s="218">
        <v>42723</v>
      </c>
      <c r="AA56" s="86" t="s">
        <v>612</v>
      </c>
      <c r="AB56" s="85" t="s">
        <v>678</v>
      </c>
      <c r="AC56" s="110">
        <v>42746</v>
      </c>
      <c r="AD56" s="110">
        <v>42747</v>
      </c>
      <c r="AE56" s="86" t="s">
        <v>755</v>
      </c>
      <c r="AF56" s="86" t="s">
        <v>792</v>
      </c>
      <c r="AG56" s="86" t="s">
        <v>1553</v>
      </c>
      <c r="AH56" s="210" t="s">
        <v>8</v>
      </c>
      <c r="AI56" s="91" t="s">
        <v>1541</v>
      </c>
    </row>
    <row r="57" spans="1:35" s="12" customFormat="1" ht="120" x14ac:dyDescent="0.25">
      <c r="A57" s="91">
        <v>55</v>
      </c>
      <c r="B57" s="91" t="s">
        <v>8</v>
      </c>
      <c r="C57" s="92" t="s">
        <v>9</v>
      </c>
      <c r="D57" s="92" t="s">
        <v>28</v>
      </c>
      <c r="E57" s="92" t="s">
        <v>26</v>
      </c>
      <c r="F57" s="91">
        <v>1</v>
      </c>
      <c r="G57" s="93">
        <v>60000</v>
      </c>
      <c r="H57" s="88">
        <f t="shared" si="2"/>
        <v>60000</v>
      </c>
      <c r="I57" s="88">
        <f t="shared" si="3"/>
        <v>73200</v>
      </c>
      <c r="J57" s="91">
        <v>1</v>
      </c>
      <c r="K57" s="88">
        <v>59562.5</v>
      </c>
      <c r="L57" s="88">
        <f t="shared" si="4"/>
        <v>59562.5</v>
      </c>
      <c r="M57" s="88">
        <f t="shared" si="5"/>
        <v>72666.25</v>
      </c>
      <c r="N57" s="86">
        <v>1</v>
      </c>
      <c r="O57" s="88">
        <v>47028.14</v>
      </c>
      <c r="P57" s="88">
        <f>O57*N57</f>
        <v>47028.14</v>
      </c>
      <c r="Q57" s="88">
        <f>P57*1.22</f>
        <v>57374.330799999996</v>
      </c>
      <c r="R57" s="85">
        <v>2020</v>
      </c>
      <c r="S57" s="74">
        <f t="shared" si="6"/>
        <v>15825.669200000004</v>
      </c>
      <c r="T57" s="53">
        <f t="shared" si="7"/>
        <v>0.21044046169989516</v>
      </c>
      <c r="U57" s="108">
        <v>43902</v>
      </c>
      <c r="V57" s="108">
        <v>43921</v>
      </c>
      <c r="W57" s="108">
        <v>44076</v>
      </c>
      <c r="X57" s="108">
        <v>44099</v>
      </c>
      <c r="Y57" s="86" t="s">
        <v>1288</v>
      </c>
      <c r="Z57" s="218" t="s">
        <v>1292</v>
      </c>
      <c r="AA57" s="86" t="s">
        <v>1289</v>
      </c>
      <c r="AB57" s="85" t="s">
        <v>1264</v>
      </c>
      <c r="AC57" s="110" t="s">
        <v>1444</v>
      </c>
      <c r="AD57" s="110" t="s">
        <v>1445</v>
      </c>
      <c r="AE57" s="86" t="s">
        <v>1479</v>
      </c>
      <c r="AF57" s="86" t="s">
        <v>1524</v>
      </c>
      <c r="AG57" s="86" t="s">
        <v>1589</v>
      </c>
      <c r="AH57" s="210" t="s">
        <v>8</v>
      </c>
      <c r="AI57" s="91" t="s">
        <v>1541</v>
      </c>
    </row>
    <row r="58" spans="1:35" s="12" customFormat="1" ht="24" x14ac:dyDescent="0.25">
      <c r="A58" s="91">
        <v>56</v>
      </c>
      <c r="B58" s="91" t="s">
        <v>8</v>
      </c>
      <c r="C58" s="92" t="s">
        <v>9</v>
      </c>
      <c r="D58" s="92" t="s">
        <v>28</v>
      </c>
      <c r="E58" s="92" t="s">
        <v>501</v>
      </c>
      <c r="F58" s="91">
        <v>1</v>
      </c>
      <c r="G58" s="93">
        <v>9574.5499999999993</v>
      </c>
      <c r="H58" s="88">
        <f t="shared" si="2"/>
        <v>9574.5499999999993</v>
      </c>
      <c r="I58" s="88">
        <f t="shared" si="3"/>
        <v>11680.950999999999</v>
      </c>
      <c r="J58" s="91">
        <v>1</v>
      </c>
      <c r="K58" s="88">
        <v>9764.33</v>
      </c>
      <c r="L58" s="88">
        <f t="shared" si="4"/>
        <v>9764.33</v>
      </c>
      <c r="M58" s="88">
        <f t="shared" si="5"/>
        <v>11912.482599999999</v>
      </c>
      <c r="N58" s="86">
        <v>1</v>
      </c>
      <c r="O58" s="88">
        <v>9574.5499999999993</v>
      </c>
      <c r="P58" s="88">
        <v>9574.5499999999993</v>
      </c>
      <c r="Q58" s="88">
        <v>11680.950999999999</v>
      </c>
      <c r="R58" s="85">
        <v>2016</v>
      </c>
      <c r="S58" s="74">
        <f t="shared" si="6"/>
        <v>0</v>
      </c>
      <c r="T58" s="53">
        <f t="shared" si="7"/>
        <v>1.9436049375635589E-2</v>
      </c>
      <c r="U58" s="108">
        <v>42634</v>
      </c>
      <c r="V58" s="108">
        <v>42643</v>
      </c>
      <c r="W58" s="108">
        <v>42660</v>
      </c>
      <c r="X58" s="108">
        <v>42685</v>
      </c>
      <c r="Y58" s="86" t="s">
        <v>591</v>
      </c>
      <c r="Z58" s="218" t="s">
        <v>679</v>
      </c>
      <c r="AA58" s="86" t="s">
        <v>590</v>
      </c>
      <c r="AB58" s="85" t="s">
        <v>592</v>
      </c>
      <c r="AC58" s="110">
        <v>42731</v>
      </c>
      <c r="AD58" s="110">
        <v>42747</v>
      </c>
      <c r="AE58" s="86" t="s">
        <v>662</v>
      </c>
      <c r="AF58" s="86" t="s">
        <v>692</v>
      </c>
      <c r="AG58" s="86" t="s">
        <v>1553</v>
      </c>
      <c r="AH58" s="210" t="s">
        <v>8</v>
      </c>
      <c r="AI58" s="91" t="s">
        <v>1541</v>
      </c>
    </row>
    <row r="59" spans="1:35" s="12" customFormat="1" ht="24" x14ac:dyDescent="0.25">
      <c r="A59" s="91">
        <v>57</v>
      </c>
      <c r="B59" s="91" t="s">
        <v>8</v>
      </c>
      <c r="C59" s="92" t="s">
        <v>9</v>
      </c>
      <c r="D59" s="92" t="s">
        <v>28</v>
      </c>
      <c r="E59" s="92" t="s">
        <v>512</v>
      </c>
      <c r="F59" s="91">
        <v>1</v>
      </c>
      <c r="G59" s="93">
        <v>4487.8900000000003</v>
      </c>
      <c r="H59" s="88">
        <f t="shared" si="2"/>
        <v>4487.8900000000003</v>
      </c>
      <c r="I59" s="88">
        <f t="shared" si="3"/>
        <v>5475.2258000000002</v>
      </c>
      <c r="J59" s="91">
        <v>1</v>
      </c>
      <c r="K59" s="88">
        <v>4488</v>
      </c>
      <c r="L59" s="88">
        <f t="shared" si="4"/>
        <v>4488</v>
      </c>
      <c r="M59" s="88">
        <f t="shared" si="5"/>
        <v>5475.36</v>
      </c>
      <c r="N59" s="86">
        <v>1</v>
      </c>
      <c r="O59" s="88">
        <v>4487.8900000000003</v>
      </c>
      <c r="P59" s="88">
        <v>4487.8900000000003</v>
      </c>
      <c r="Q59" s="88">
        <v>5475.2258000000002</v>
      </c>
      <c r="R59" s="85">
        <v>2017</v>
      </c>
      <c r="S59" s="74">
        <f t="shared" si="6"/>
        <v>0</v>
      </c>
      <c r="T59" s="53">
        <f t="shared" si="7"/>
        <v>2.4509803921435314E-5</v>
      </c>
      <c r="U59" s="108">
        <v>42761</v>
      </c>
      <c r="V59" s="108">
        <v>42776</v>
      </c>
      <c r="W59" s="108">
        <v>42779</v>
      </c>
      <c r="X59" s="108">
        <v>42786</v>
      </c>
      <c r="Y59" s="86" t="s">
        <v>654</v>
      </c>
      <c r="Z59" s="218" t="s">
        <v>699</v>
      </c>
      <c r="AA59" s="86" t="s">
        <v>655</v>
      </c>
      <c r="AB59" s="85" t="s">
        <v>656</v>
      </c>
      <c r="AC59" s="110">
        <v>42788</v>
      </c>
      <c r="AD59" s="110">
        <v>42794</v>
      </c>
      <c r="AE59" s="86" t="s">
        <v>674</v>
      </c>
      <c r="AF59" s="86" t="s">
        <v>688</v>
      </c>
      <c r="AG59" s="86" t="s">
        <v>1553</v>
      </c>
      <c r="AH59" s="210" t="s">
        <v>8</v>
      </c>
      <c r="AI59" s="91" t="s">
        <v>1541</v>
      </c>
    </row>
    <row r="60" spans="1:35" s="12" customFormat="1" ht="24" x14ac:dyDescent="0.25">
      <c r="A60" s="91">
        <v>58</v>
      </c>
      <c r="B60" s="91" t="s">
        <v>8</v>
      </c>
      <c r="C60" s="92" t="s">
        <v>9</v>
      </c>
      <c r="D60" s="92" t="s">
        <v>845</v>
      </c>
      <c r="E60" s="92" t="s">
        <v>31</v>
      </c>
      <c r="F60" s="91">
        <v>1</v>
      </c>
      <c r="G60" s="93">
        <v>22000</v>
      </c>
      <c r="H60" s="88">
        <f t="shared" si="2"/>
        <v>22000</v>
      </c>
      <c r="I60" s="88">
        <f t="shared" si="3"/>
        <v>26840</v>
      </c>
      <c r="J60" s="91">
        <v>1</v>
      </c>
      <c r="K60" s="88">
        <v>17500</v>
      </c>
      <c r="L60" s="88">
        <f t="shared" si="4"/>
        <v>17500</v>
      </c>
      <c r="M60" s="88">
        <f>L60*1.22</f>
        <v>21350</v>
      </c>
      <c r="N60" s="86">
        <v>1</v>
      </c>
      <c r="O60" s="88">
        <v>17491.349999999999</v>
      </c>
      <c r="P60" s="88">
        <f>N60*O60</f>
        <v>17491.349999999999</v>
      </c>
      <c r="Q60" s="88">
        <f>P60*1.22</f>
        <v>21339.446999999996</v>
      </c>
      <c r="R60" s="85">
        <v>2021</v>
      </c>
      <c r="S60" s="74">
        <f t="shared" si="6"/>
        <v>5500.5530000000035</v>
      </c>
      <c r="T60" s="53">
        <f t="shared" si="7"/>
        <v>4.9428571428589141E-4</v>
      </c>
      <c r="U60" s="108">
        <v>44116</v>
      </c>
      <c r="V60" s="108">
        <v>44132</v>
      </c>
      <c r="W60" s="108">
        <v>44230</v>
      </c>
      <c r="X60" s="108">
        <v>43876</v>
      </c>
      <c r="Y60" s="86" t="s">
        <v>1504</v>
      </c>
      <c r="Z60" s="218" t="s">
        <v>1506</v>
      </c>
      <c r="AA60" s="86" t="s">
        <v>1268</v>
      </c>
      <c r="AB60" s="85" t="s">
        <v>1484</v>
      </c>
      <c r="AC60" s="110">
        <v>44314</v>
      </c>
      <c r="AD60" s="110">
        <v>44314</v>
      </c>
      <c r="AE60" s="86" t="s">
        <v>1584</v>
      </c>
      <c r="AF60" s="86" t="s">
        <v>1605</v>
      </c>
      <c r="AG60" s="86" t="s">
        <v>1589</v>
      </c>
      <c r="AH60" s="210" t="s">
        <v>8</v>
      </c>
      <c r="AI60" s="91" t="s">
        <v>1585</v>
      </c>
    </row>
    <row r="61" spans="1:35" s="12" customFormat="1" ht="12" x14ac:dyDescent="0.25">
      <c r="A61" s="38">
        <v>59</v>
      </c>
      <c r="B61" s="6" t="s">
        <v>8</v>
      </c>
      <c r="C61" s="5" t="s">
        <v>9</v>
      </c>
      <c r="D61" s="5" t="s">
        <v>546</v>
      </c>
      <c r="E61" s="5" t="s">
        <v>547</v>
      </c>
      <c r="F61" s="6">
        <v>1</v>
      </c>
      <c r="G61" s="7">
        <v>120000</v>
      </c>
      <c r="H61" s="41">
        <f t="shared" si="2"/>
        <v>120000</v>
      </c>
      <c r="I61" s="41">
        <f t="shared" si="3"/>
        <v>146400</v>
      </c>
      <c r="J61" s="6"/>
      <c r="K61" s="41"/>
      <c r="L61" s="41">
        <f t="shared" si="4"/>
        <v>0</v>
      </c>
      <c r="M61" s="41">
        <f t="shared" si="5"/>
        <v>0</v>
      </c>
      <c r="N61" s="6">
        <v>0</v>
      </c>
      <c r="O61" s="41">
        <v>0</v>
      </c>
      <c r="P61" s="41">
        <v>0</v>
      </c>
      <c r="Q61" s="41">
        <v>0</v>
      </c>
      <c r="R61" s="6"/>
      <c r="S61" s="74">
        <f t="shared" si="6"/>
        <v>146400</v>
      </c>
      <c r="T61" s="53" t="e">
        <f t="shared" si="7"/>
        <v>#DIV/0!</v>
      </c>
      <c r="U61" s="6"/>
      <c r="V61" s="6"/>
      <c r="W61" s="6"/>
      <c r="X61" s="6"/>
      <c r="Y61" s="6"/>
      <c r="Z61" s="71"/>
      <c r="AA61" s="6"/>
      <c r="AB61" s="6"/>
      <c r="AC61" s="6"/>
      <c r="AD61" s="6"/>
      <c r="AE61" s="6"/>
      <c r="AF61" s="6"/>
      <c r="AG61" s="6"/>
      <c r="AH61" s="89" t="s">
        <v>8</v>
      </c>
      <c r="AI61" s="6" t="s">
        <v>1550</v>
      </c>
    </row>
    <row r="62" spans="1:35" s="12" customFormat="1" ht="36" x14ac:dyDescent="0.25">
      <c r="A62" s="91">
        <v>60</v>
      </c>
      <c r="B62" s="91" t="s">
        <v>8</v>
      </c>
      <c r="C62" s="92" t="s">
        <v>9</v>
      </c>
      <c r="D62" s="92" t="s">
        <v>55</v>
      </c>
      <c r="E62" s="92" t="s">
        <v>499</v>
      </c>
      <c r="F62" s="91">
        <v>1</v>
      </c>
      <c r="G62" s="93">
        <v>24480</v>
      </c>
      <c r="H62" s="88">
        <f t="shared" si="2"/>
        <v>24480</v>
      </c>
      <c r="I62" s="88">
        <f t="shared" si="3"/>
        <v>29865.599999999999</v>
      </c>
      <c r="J62" s="91">
        <v>1</v>
      </c>
      <c r="K62" s="88">
        <v>91300</v>
      </c>
      <c r="L62" s="88">
        <f t="shared" si="4"/>
        <v>91300</v>
      </c>
      <c r="M62" s="88">
        <f t="shared" si="5"/>
        <v>111386</v>
      </c>
      <c r="N62" s="86">
        <v>1</v>
      </c>
      <c r="O62" s="88">
        <v>24480</v>
      </c>
      <c r="P62" s="88">
        <v>24480</v>
      </c>
      <c r="Q62" s="88">
        <v>29865.599999999999</v>
      </c>
      <c r="R62" s="85">
        <v>2016</v>
      </c>
      <c r="S62" s="74">
        <f t="shared" si="6"/>
        <v>0</v>
      </c>
      <c r="T62" s="53">
        <f t="shared" si="7"/>
        <v>0.7318729463307776</v>
      </c>
      <c r="U62" s="108">
        <v>42297</v>
      </c>
      <c r="V62" s="108">
        <v>42349</v>
      </c>
      <c r="W62" s="108">
        <v>42506</v>
      </c>
      <c r="X62" s="108">
        <v>42531</v>
      </c>
      <c r="Y62" s="86" t="s">
        <v>495</v>
      </c>
      <c r="Z62" s="218" t="s">
        <v>613</v>
      </c>
      <c r="AA62" s="86" t="s">
        <v>496</v>
      </c>
      <c r="AB62" s="85" t="s">
        <v>544</v>
      </c>
      <c r="AC62" s="110">
        <v>42607</v>
      </c>
      <c r="AD62" s="110">
        <v>42622</v>
      </c>
      <c r="AE62" s="86" t="s">
        <v>595</v>
      </c>
      <c r="AF62" s="86" t="s">
        <v>614</v>
      </c>
      <c r="AG62" s="86" t="s">
        <v>1553</v>
      </c>
      <c r="AH62" s="210" t="s">
        <v>8</v>
      </c>
      <c r="AI62" s="91" t="s">
        <v>1541</v>
      </c>
    </row>
    <row r="63" spans="1:35" s="23" customFormat="1" ht="24" x14ac:dyDescent="0.25">
      <c r="A63" s="38">
        <v>61</v>
      </c>
      <c r="B63" s="6" t="s">
        <v>8</v>
      </c>
      <c r="C63" s="5" t="s">
        <v>638</v>
      </c>
      <c r="D63" s="5" t="s">
        <v>201</v>
      </c>
      <c r="E63" s="5" t="s">
        <v>548</v>
      </c>
      <c r="F63" s="6">
        <v>2</v>
      </c>
      <c r="G63" s="7">
        <v>4500</v>
      </c>
      <c r="H63" s="41">
        <f t="shared" si="2"/>
        <v>9000</v>
      </c>
      <c r="I63" s="7">
        <f>H63*1.22</f>
        <v>10980</v>
      </c>
      <c r="J63" s="58">
        <v>2</v>
      </c>
      <c r="K63" s="10">
        <v>4000</v>
      </c>
      <c r="L63" s="41">
        <f>J63*K63</f>
        <v>8000</v>
      </c>
      <c r="M63" s="10">
        <v>9760</v>
      </c>
      <c r="N63" s="58">
        <v>2</v>
      </c>
      <c r="O63" s="41">
        <v>4000</v>
      </c>
      <c r="P63" s="154">
        <f>N63*O63</f>
        <v>8000</v>
      </c>
      <c r="Q63" s="154">
        <f>P63*1.22</f>
        <v>9760</v>
      </c>
      <c r="R63" s="22" t="s">
        <v>1928</v>
      </c>
      <c r="S63" s="74">
        <f t="shared" si="6"/>
        <v>1220</v>
      </c>
      <c r="T63" s="53">
        <f t="shared" si="7"/>
        <v>0</v>
      </c>
      <c r="U63" s="155">
        <v>44574</v>
      </c>
      <c r="V63" s="155">
        <v>44588</v>
      </c>
      <c r="W63" s="155"/>
      <c r="X63" s="155">
        <v>44673</v>
      </c>
      <c r="Y63" s="157" t="s">
        <v>1930</v>
      </c>
      <c r="Z63" s="157" t="s">
        <v>1933</v>
      </c>
      <c r="AA63" s="72" t="s">
        <v>1662</v>
      </c>
      <c r="AB63" s="120" t="s">
        <v>1929</v>
      </c>
      <c r="AC63" s="156">
        <v>44936</v>
      </c>
      <c r="AD63" s="156">
        <v>44936</v>
      </c>
      <c r="AE63" s="157"/>
      <c r="AF63" s="157"/>
      <c r="AG63" s="157"/>
      <c r="AH63" s="89" t="s">
        <v>8</v>
      </c>
      <c r="AI63" s="6" t="s">
        <v>2024</v>
      </c>
    </row>
    <row r="64" spans="1:35" s="12" customFormat="1" ht="84" x14ac:dyDescent="0.25">
      <c r="A64" s="91">
        <v>62</v>
      </c>
      <c r="B64" s="91" t="s">
        <v>8</v>
      </c>
      <c r="C64" s="92" t="s">
        <v>53</v>
      </c>
      <c r="D64" s="92" t="s">
        <v>75</v>
      </c>
      <c r="E64" s="92" t="s">
        <v>538</v>
      </c>
      <c r="F64" s="91">
        <v>1</v>
      </c>
      <c r="G64" s="93">
        <v>32898.83</v>
      </c>
      <c r="H64" s="88">
        <f t="shared" si="2"/>
        <v>32898.83</v>
      </c>
      <c r="I64" s="88">
        <f t="shared" si="3"/>
        <v>40136.5726</v>
      </c>
      <c r="J64" s="91">
        <v>1</v>
      </c>
      <c r="K64" s="88">
        <v>33000</v>
      </c>
      <c r="L64" s="88">
        <f t="shared" si="4"/>
        <v>33000</v>
      </c>
      <c r="M64" s="88">
        <f t="shared" si="5"/>
        <v>40260</v>
      </c>
      <c r="N64" s="86">
        <v>1</v>
      </c>
      <c r="O64" s="88">
        <v>32898.83</v>
      </c>
      <c r="P64" s="88">
        <v>32898.83</v>
      </c>
      <c r="Q64" s="88">
        <v>40136.5726</v>
      </c>
      <c r="R64" s="85">
        <v>2017</v>
      </c>
      <c r="S64" s="211">
        <f>I64-Q64</f>
        <v>0</v>
      </c>
      <c r="T64" s="212">
        <f>1-Q64/M64</f>
        <v>3.065757575757555E-3</v>
      </c>
      <c r="U64" s="108">
        <v>42671</v>
      </c>
      <c r="V64" s="108">
        <v>42704</v>
      </c>
      <c r="W64" s="108">
        <v>42809</v>
      </c>
      <c r="X64" s="108">
        <v>42829</v>
      </c>
      <c r="Y64" s="86">
        <v>42866</v>
      </c>
      <c r="Z64" s="218">
        <v>42866</v>
      </c>
      <c r="AA64" s="86" t="s">
        <v>610</v>
      </c>
      <c r="AB64" s="85" t="s">
        <v>665</v>
      </c>
      <c r="AC64" s="110" t="s">
        <v>785</v>
      </c>
      <c r="AD64" s="110" t="s">
        <v>784</v>
      </c>
      <c r="AE64" s="86" t="s">
        <v>781</v>
      </c>
      <c r="AF64" s="86" t="s">
        <v>830</v>
      </c>
      <c r="AG64" s="86" t="s">
        <v>1553</v>
      </c>
      <c r="AH64" s="210" t="s">
        <v>8</v>
      </c>
      <c r="AI64" s="91" t="s">
        <v>1541</v>
      </c>
    </row>
    <row r="65" spans="1:35" s="12" customFormat="1" ht="12" x14ac:dyDescent="0.25">
      <c r="A65" s="38">
        <v>63</v>
      </c>
      <c r="B65" s="6" t="s">
        <v>8</v>
      </c>
      <c r="C65" s="45" t="s">
        <v>53</v>
      </c>
      <c r="D65" s="45" t="s">
        <v>12</v>
      </c>
      <c r="E65" s="45" t="s">
        <v>217</v>
      </c>
      <c r="F65" s="46">
        <v>1</v>
      </c>
      <c r="G65" s="7">
        <v>20000</v>
      </c>
      <c r="H65" s="41">
        <f t="shared" si="2"/>
        <v>20000</v>
      </c>
      <c r="I65" s="41">
        <f t="shared" si="3"/>
        <v>24400</v>
      </c>
      <c r="J65" s="6"/>
      <c r="K65" s="6"/>
      <c r="L65" s="41">
        <f t="shared" si="4"/>
        <v>0</v>
      </c>
      <c r="M65" s="41">
        <f t="shared" si="5"/>
        <v>0</v>
      </c>
      <c r="N65" s="6"/>
      <c r="O65" s="41"/>
      <c r="P65" s="41">
        <v>0</v>
      </c>
      <c r="Q65" s="41">
        <v>0</v>
      </c>
      <c r="R65" s="6"/>
      <c r="S65" s="74"/>
      <c r="T65" s="53" t="e">
        <f t="shared" ref="T65:T82" si="20">1-Q65/M65</f>
        <v>#DIV/0!</v>
      </c>
      <c r="U65" s="6"/>
      <c r="V65" s="6"/>
      <c r="W65" s="6"/>
      <c r="X65" s="6"/>
      <c r="Y65" s="6"/>
      <c r="Z65" s="71"/>
      <c r="AA65" s="6"/>
      <c r="AB65" s="6"/>
      <c r="AC65" s="6"/>
      <c r="AD65" s="6"/>
      <c r="AE65" s="6"/>
      <c r="AF65" s="6"/>
      <c r="AG65" s="6"/>
      <c r="AH65" s="89" t="s">
        <v>8</v>
      </c>
      <c r="AI65" s="6" t="s">
        <v>1541</v>
      </c>
    </row>
    <row r="66" spans="1:35" s="12" customFormat="1" ht="24" x14ac:dyDescent="0.25">
      <c r="A66" s="91">
        <v>64</v>
      </c>
      <c r="B66" s="91" t="s">
        <v>8</v>
      </c>
      <c r="C66" s="92" t="s">
        <v>53</v>
      </c>
      <c r="D66" s="92" t="s">
        <v>196</v>
      </c>
      <c r="E66" s="92" t="s">
        <v>218</v>
      </c>
      <c r="F66" s="91">
        <v>1</v>
      </c>
      <c r="G66" s="93">
        <v>20000</v>
      </c>
      <c r="H66" s="88">
        <f t="shared" si="2"/>
        <v>20000</v>
      </c>
      <c r="I66" s="88">
        <f t="shared" si="3"/>
        <v>24400</v>
      </c>
      <c r="J66" s="91">
        <v>1</v>
      </c>
      <c r="K66" s="88">
        <v>25000</v>
      </c>
      <c r="L66" s="88">
        <f t="shared" si="4"/>
        <v>25000</v>
      </c>
      <c r="M66" s="88">
        <f t="shared" ref="M66:M67" si="21">L66*1.22</f>
        <v>30500</v>
      </c>
      <c r="N66" s="86">
        <v>1</v>
      </c>
      <c r="O66" s="88">
        <v>23500</v>
      </c>
      <c r="P66" s="88">
        <v>23500</v>
      </c>
      <c r="Q66" s="88">
        <f>P66*1.22</f>
        <v>28670</v>
      </c>
      <c r="R66" s="85">
        <v>2019</v>
      </c>
      <c r="S66" s="211">
        <f>I66-Q66</f>
        <v>-4270</v>
      </c>
      <c r="T66" s="212">
        <f t="shared" ref="T66:T67" si="22">1-Q66/M66</f>
        <v>6.0000000000000053E-2</v>
      </c>
      <c r="U66" s="108">
        <v>43430</v>
      </c>
      <c r="V66" s="108">
        <v>43440</v>
      </c>
      <c r="W66" s="108">
        <v>43557</v>
      </c>
      <c r="X66" s="108">
        <v>43557</v>
      </c>
      <c r="Y66" s="86">
        <v>2145551</v>
      </c>
      <c r="Z66" s="218" t="s">
        <v>1138</v>
      </c>
      <c r="AA66" s="86">
        <v>7706190529</v>
      </c>
      <c r="AB66" s="85" t="s">
        <v>1046</v>
      </c>
      <c r="AC66" s="110" t="s">
        <v>1139</v>
      </c>
      <c r="AD66" s="110">
        <v>43768</v>
      </c>
      <c r="AE66" s="86" t="s">
        <v>1140</v>
      </c>
      <c r="AF66" s="86" t="s">
        <v>1523</v>
      </c>
      <c r="AG66" s="86" t="s">
        <v>1589</v>
      </c>
      <c r="AH66" s="210" t="s">
        <v>8</v>
      </c>
      <c r="AI66" s="91" t="s">
        <v>1541</v>
      </c>
    </row>
    <row r="67" spans="1:35" s="12" customFormat="1" ht="24" customHeight="1" x14ac:dyDescent="0.25">
      <c r="A67" s="6">
        <v>65</v>
      </c>
      <c r="B67" s="6" t="s">
        <v>8</v>
      </c>
      <c r="C67" s="5" t="s">
        <v>53</v>
      </c>
      <c r="D67" s="5" t="s">
        <v>196</v>
      </c>
      <c r="E67" s="5" t="s">
        <v>637</v>
      </c>
      <c r="F67" s="6">
        <v>1</v>
      </c>
      <c r="G67" s="7">
        <v>4000</v>
      </c>
      <c r="H67" s="41">
        <f t="shared" si="2"/>
        <v>4000</v>
      </c>
      <c r="I67" s="41">
        <f>H67*1.22</f>
        <v>4880</v>
      </c>
      <c r="J67" s="6">
        <v>1</v>
      </c>
      <c r="K67" s="41">
        <v>4000</v>
      </c>
      <c r="L67" s="41">
        <f>J67*K67</f>
        <v>4000</v>
      </c>
      <c r="M67" s="41">
        <f t="shared" si="21"/>
        <v>4880</v>
      </c>
      <c r="N67" s="40">
        <v>1</v>
      </c>
      <c r="O67" s="41">
        <v>0</v>
      </c>
      <c r="P67" s="41">
        <v>0</v>
      </c>
      <c r="Q67" s="41">
        <v>0</v>
      </c>
      <c r="R67" s="38">
        <v>2018</v>
      </c>
      <c r="S67" s="74">
        <f t="shared" ref="S67" si="23">I67-Q67</f>
        <v>4880</v>
      </c>
      <c r="T67" s="53">
        <f t="shared" si="22"/>
        <v>1</v>
      </c>
      <c r="U67" s="57">
        <v>43162</v>
      </c>
      <c r="V67" s="57">
        <v>43175</v>
      </c>
      <c r="W67" s="57"/>
      <c r="X67" s="57"/>
      <c r="Y67" s="40"/>
      <c r="Z67" s="113"/>
      <c r="AA67" s="40" t="s">
        <v>789</v>
      </c>
      <c r="AB67" s="38"/>
      <c r="AC67" s="217"/>
      <c r="AD67" s="217"/>
      <c r="AE67" s="40"/>
      <c r="AF67" s="40"/>
      <c r="AG67" s="38"/>
      <c r="AH67" s="89" t="s">
        <v>8</v>
      </c>
      <c r="AI67" s="6" t="s">
        <v>1551</v>
      </c>
    </row>
    <row r="68" spans="1:35" s="12" customFormat="1" ht="12" x14ac:dyDescent="0.25">
      <c r="A68" s="6">
        <v>66</v>
      </c>
      <c r="B68" s="6" t="s">
        <v>8</v>
      </c>
      <c r="C68" s="45" t="s">
        <v>53</v>
      </c>
      <c r="D68" s="45" t="s">
        <v>504</v>
      </c>
      <c r="E68" s="45" t="s">
        <v>65</v>
      </c>
      <c r="F68" s="46">
        <v>1</v>
      </c>
      <c r="G68" s="7">
        <v>8000</v>
      </c>
      <c r="H68" s="41">
        <f t="shared" si="2"/>
        <v>8000</v>
      </c>
      <c r="I68" s="41">
        <f t="shared" si="3"/>
        <v>9760</v>
      </c>
      <c r="J68" s="6"/>
      <c r="K68" s="6"/>
      <c r="L68" s="41">
        <f t="shared" si="4"/>
        <v>0</v>
      </c>
      <c r="M68" s="41">
        <f t="shared" si="5"/>
        <v>0</v>
      </c>
      <c r="N68" s="6"/>
      <c r="O68" s="41"/>
      <c r="P68" s="41">
        <v>0</v>
      </c>
      <c r="Q68" s="41">
        <v>0</v>
      </c>
      <c r="R68" s="6"/>
      <c r="S68" s="74"/>
      <c r="T68" s="53" t="e">
        <f t="shared" si="20"/>
        <v>#DIV/0!</v>
      </c>
      <c r="U68" s="6"/>
      <c r="V68" s="6"/>
      <c r="W68" s="6"/>
      <c r="X68" s="6"/>
      <c r="Y68" s="6"/>
      <c r="Z68" s="71"/>
      <c r="AA68" s="6"/>
      <c r="AB68" s="6"/>
      <c r="AC68" s="6"/>
      <c r="AD68" s="6"/>
      <c r="AE68" s="6"/>
      <c r="AF68" s="6"/>
      <c r="AG68" s="6"/>
      <c r="AH68" s="89" t="s">
        <v>8</v>
      </c>
      <c r="AI68" s="6" t="s">
        <v>1547</v>
      </c>
    </row>
    <row r="69" spans="1:35" s="140" customFormat="1" ht="24" x14ac:dyDescent="0.25">
      <c r="A69" s="91">
        <v>67</v>
      </c>
      <c r="B69" s="91" t="s">
        <v>8</v>
      </c>
      <c r="C69" s="92" t="s">
        <v>53</v>
      </c>
      <c r="D69" s="92" t="s">
        <v>751</v>
      </c>
      <c r="E69" s="92" t="s">
        <v>846</v>
      </c>
      <c r="F69" s="91">
        <v>2</v>
      </c>
      <c r="G69" s="93">
        <v>6147.6</v>
      </c>
      <c r="H69" s="88">
        <f t="shared" si="2"/>
        <v>12295.2</v>
      </c>
      <c r="I69" s="88">
        <f t="shared" si="3"/>
        <v>15000.144</v>
      </c>
      <c r="J69" s="91">
        <v>2</v>
      </c>
      <c r="K69" s="88">
        <v>7000</v>
      </c>
      <c r="L69" s="88">
        <f t="shared" ref="L69" si="24">J69*K69</f>
        <v>14000</v>
      </c>
      <c r="M69" s="88">
        <f t="shared" ref="M69" si="25">L69*1.22</f>
        <v>17080</v>
      </c>
      <c r="N69" s="86">
        <v>2</v>
      </c>
      <c r="O69" s="88">
        <v>6147.6</v>
      </c>
      <c r="P69" s="88">
        <v>12295.2</v>
      </c>
      <c r="Q69" s="88">
        <v>15000.144</v>
      </c>
      <c r="R69" s="85">
        <v>2017</v>
      </c>
      <c r="S69" s="211">
        <f t="shared" ref="S69" si="26">I69-Q69</f>
        <v>0</v>
      </c>
      <c r="T69" s="212">
        <f t="shared" ref="T69" si="27">1-Q69/M69</f>
        <v>0.12177142857142853</v>
      </c>
      <c r="U69" s="108">
        <v>42942</v>
      </c>
      <c r="V69" s="108">
        <v>42982</v>
      </c>
      <c r="W69" s="108">
        <v>43017</v>
      </c>
      <c r="X69" s="108">
        <v>43027</v>
      </c>
      <c r="Y69" s="86" t="s">
        <v>752</v>
      </c>
      <c r="Z69" s="218">
        <v>43039</v>
      </c>
      <c r="AA69" s="86" t="s">
        <v>753</v>
      </c>
      <c r="AB69" s="85" t="s">
        <v>853</v>
      </c>
      <c r="AC69" s="110">
        <v>43070</v>
      </c>
      <c r="AD69" s="110">
        <v>43089</v>
      </c>
      <c r="AE69" s="86" t="s">
        <v>759</v>
      </c>
      <c r="AF69" s="86" t="s">
        <v>831</v>
      </c>
      <c r="AG69" s="86" t="s">
        <v>1553</v>
      </c>
      <c r="AH69" s="210" t="s">
        <v>8</v>
      </c>
      <c r="AI69" s="91" t="s">
        <v>1541</v>
      </c>
    </row>
    <row r="70" spans="1:35" s="12" customFormat="1" ht="24" x14ac:dyDescent="0.25">
      <c r="A70" s="91">
        <v>68</v>
      </c>
      <c r="B70" s="91" t="s">
        <v>8</v>
      </c>
      <c r="C70" s="92" t="s">
        <v>53</v>
      </c>
      <c r="D70" s="92" t="s">
        <v>201</v>
      </c>
      <c r="E70" s="92" t="s">
        <v>219</v>
      </c>
      <c r="F70" s="91">
        <v>1</v>
      </c>
      <c r="G70" s="93">
        <v>8211.9</v>
      </c>
      <c r="H70" s="88">
        <f t="shared" si="2"/>
        <v>8211.9</v>
      </c>
      <c r="I70" s="88">
        <f t="shared" si="3"/>
        <v>10018.518</v>
      </c>
      <c r="J70" s="91">
        <v>1</v>
      </c>
      <c r="K70" s="88">
        <v>10000</v>
      </c>
      <c r="L70" s="88">
        <f t="shared" si="4"/>
        <v>10000</v>
      </c>
      <c r="M70" s="88">
        <f t="shared" si="5"/>
        <v>12200</v>
      </c>
      <c r="N70" s="86">
        <v>1</v>
      </c>
      <c r="O70" s="88">
        <v>8211.9</v>
      </c>
      <c r="P70" s="88">
        <v>8211.9</v>
      </c>
      <c r="Q70" s="88">
        <v>10018.518</v>
      </c>
      <c r="R70" s="85">
        <v>2017</v>
      </c>
      <c r="S70" s="211">
        <f t="shared" ref="S70:S82" si="28">I70-Q70</f>
        <v>0</v>
      </c>
      <c r="T70" s="212">
        <f t="shared" si="20"/>
        <v>0.17881000000000002</v>
      </c>
      <c r="U70" s="108">
        <v>42843</v>
      </c>
      <c r="V70" s="108">
        <v>42860</v>
      </c>
      <c r="W70" s="108">
        <v>42902</v>
      </c>
      <c r="X70" s="108">
        <v>42929</v>
      </c>
      <c r="Y70" s="86" t="s">
        <v>716</v>
      </c>
      <c r="Z70" s="218" t="s">
        <v>717</v>
      </c>
      <c r="AA70" s="86" t="s">
        <v>718</v>
      </c>
      <c r="AB70" s="85" t="s">
        <v>719</v>
      </c>
      <c r="AC70" s="110" t="s">
        <v>725</v>
      </c>
      <c r="AD70" s="110">
        <v>42955</v>
      </c>
      <c r="AE70" s="86" t="s">
        <v>745</v>
      </c>
      <c r="AF70" s="86" t="s">
        <v>791</v>
      </c>
      <c r="AG70" s="86" t="s">
        <v>1553</v>
      </c>
      <c r="AH70" s="210" t="s">
        <v>8</v>
      </c>
      <c r="AI70" s="91" t="s">
        <v>1541</v>
      </c>
    </row>
    <row r="71" spans="1:35" s="12" customFormat="1" ht="24" x14ac:dyDescent="0.25">
      <c r="A71" s="91">
        <v>69</v>
      </c>
      <c r="B71" s="91" t="s">
        <v>8</v>
      </c>
      <c r="C71" s="92" t="s">
        <v>53</v>
      </c>
      <c r="D71" s="92" t="s">
        <v>205</v>
      </c>
      <c r="E71" s="92" t="s">
        <v>206</v>
      </c>
      <c r="F71" s="91">
        <v>1</v>
      </c>
      <c r="G71" s="93">
        <v>7700</v>
      </c>
      <c r="H71" s="88">
        <f t="shared" si="2"/>
        <v>7700</v>
      </c>
      <c r="I71" s="88">
        <f t="shared" si="3"/>
        <v>9394</v>
      </c>
      <c r="J71" s="91">
        <v>1</v>
      </c>
      <c r="K71" s="88">
        <v>8000</v>
      </c>
      <c r="L71" s="88">
        <f t="shared" si="4"/>
        <v>8000</v>
      </c>
      <c r="M71" s="88">
        <f t="shared" si="5"/>
        <v>9760</v>
      </c>
      <c r="N71" s="86">
        <v>1</v>
      </c>
      <c r="O71" s="88">
        <v>7700</v>
      </c>
      <c r="P71" s="88">
        <v>7700</v>
      </c>
      <c r="Q71" s="88">
        <v>9394</v>
      </c>
      <c r="R71" s="85">
        <v>2016</v>
      </c>
      <c r="S71" s="211">
        <f t="shared" si="28"/>
        <v>0</v>
      </c>
      <c r="T71" s="212">
        <f t="shared" si="20"/>
        <v>3.7499999999999978E-2</v>
      </c>
      <c r="U71" s="108">
        <v>42619</v>
      </c>
      <c r="V71" s="108">
        <v>42646</v>
      </c>
      <c r="W71" s="108">
        <v>42685</v>
      </c>
      <c r="X71" s="108">
        <v>42691</v>
      </c>
      <c r="Y71" s="86" t="s">
        <v>677</v>
      </c>
      <c r="Z71" s="218" t="s">
        <v>677</v>
      </c>
      <c r="AA71" s="86" t="s">
        <v>607</v>
      </c>
      <c r="AB71" s="85" t="s">
        <v>609</v>
      </c>
      <c r="AC71" s="110" t="s">
        <v>701</v>
      </c>
      <c r="AD71" s="110" t="s">
        <v>700</v>
      </c>
      <c r="AE71" s="86" t="s">
        <v>714</v>
      </c>
      <c r="AF71" s="86" t="s">
        <v>736</v>
      </c>
      <c r="AG71" s="86" t="s">
        <v>1553</v>
      </c>
      <c r="AH71" s="210" t="s">
        <v>8</v>
      </c>
      <c r="AI71" s="91" t="s">
        <v>1541</v>
      </c>
    </row>
    <row r="72" spans="1:35" s="12" customFormat="1" ht="60" x14ac:dyDescent="0.25">
      <c r="A72" s="91">
        <v>70</v>
      </c>
      <c r="B72" s="91" t="s">
        <v>8</v>
      </c>
      <c r="C72" s="92" t="s">
        <v>53</v>
      </c>
      <c r="D72" s="92" t="s">
        <v>205</v>
      </c>
      <c r="E72" s="92" t="s">
        <v>511</v>
      </c>
      <c r="F72" s="91">
        <v>1</v>
      </c>
      <c r="G72" s="93">
        <v>15000</v>
      </c>
      <c r="H72" s="88">
        <f t="shared" si="2"/>
        <v>15000</v>
      </c>
      <c r="I72" s="88">
        <f t="shared" si="3"/>
        <v>18300</v>
      </c>
      <c r="J72" s="91">
        <v>1</v>
      </c>
      <c r="K72" s="88">
        <v>10500</v>
      </c>
      <c r="L72" s="88">
        <f t="shared" si="4"/>
        <v>10500</v>
      </c>
      <c r="M72" s="88">
        <f t="shared" si="5"/>
        <v>12810</v>
      </c>
      <c r="N72" s="86">
        <v>1</v>
      </c>
      <c r="O72" s="88">
        <v>16400.150000000001</v>
      </c>
      <c r="P72" s="88">
        <f>O72*N72</f>
        <v>16400.150000000001</v>
      </c>
      <c r="Q72" s="88">
        <f>P72*1.22</f>
        <v>20008.183000000001</v>
      </c>
      <c r="R72" s="85">
        <v>2020</v>
      </c>
      <c r="S72" s="211">
        <f t="shared" ref="S72:S80" si="29">I72-Q72</f>
        <v>-1708.1830000000009</v>
      </c>
      <c r="T72" s="212">
        <f t="shared" si="20"/>
        <v>-0.56191904761904765</v>
      </c>
      <c r="U72" s="108">
        <v>43902</v>
      </c>
      <c r="V72" s="108">
        <v>43921</v>
      </c>
      <c r="W72" s="108">
        <v>44076</v>
      </c>
      <c r="X72" s="108">
        <v>44099</v>
      </c>
      <c r="Y72" s="86" t="s">
        <v>1288</v>
      </c>
      <c r="Z72" s="218" t="s">
        <v>1293</v>
      </c>
      <c r="AA72" s="86" t="s">
        <v>1284</v>
      </c>
      <c r="AB72" s="85" t="s">
        <v>1264</v>
      </c>
      <c r="AC72" s="110" t="s">
        <v>1473</v>
      </c>
      <c r="AD72" s="110" t="s">
        <v>1475</v>
      </c>
      <c r="AE72" s="86" t="s">
        <v>1486</v>
      </c>
      <c r="AF72" s="86" t="s">
        <v>1522</v>
      </c>
      <c r="AG72" s="86" t="s">
        <v>1589</v>
      </c>
      <c r="AH72" s="210" t="s">
        <v>8</v>
      </c>
      <c r="AI72" s="91" t="s">
        <v>1549</v>
      </c>
    </row>
    <row r="73" spans="1:35" s="12" customFormat="1" ht="24" x14ac:dyDescent="0.25">
      <c r="A73" s="91">
        <v>71</v>
      </c>
      <c r="B73" s="91" t="s">
        <v>8</v>
      </c>
      <c r="C73" s="92" t="s">
        <v>53</v>
      </c>
      <c r="D73" s="92" t="s">
        <v>64</v>
      </c>
      <c r="E73" s="92" t="s">
        <v>206</v>
      </c>
      <c r="F73" s="91">
        <v>1</v>
      </c>
      <c r="G73" s="93">
        <v>8921.6</v>
      </c>
      <c r="H73" s="88">
        <f t="shared" si="2"/>
        <v>8921.6</v>
      </c>
      <c r="I73" s="88">
        <f>H73*1.22</f>
        <v>10884.352000000001</v>
      </c>
      <c r="J73" s="91">
        <v>1</v>
      </c>
      <c r="K73" s="88">
        <v>9000</v>
      </c>
      <c r="L73" s="88">
        <f>J73*K73</f>
        <v>9000</v>
      </c>
      <c r="M73" s="88">
        <f t="shared" ref="M73:M79" si="30">L73*1.22</f>
        <v>10980</v>
      </c>
      <c r="N73" s="86">
        <v>1</v>
      </c>
      <c r="O73" s="88">
        <v>8921.6</v>
      </c>
      <c r="P73" s="88">
        <v>8921.6</v>
      </c>
      <c r="Q73" s="88">
        <v>10884.352000000001</v>
      </c>
      <c r="R73" s="85">
        <v>2016</v>
      </c>
      <c r="S73" s="211">
        <f t="shared" si="29"/>
        <v>0</v>
      </c>
      <c r="T73" s="212">
        <f>1-Q73/M73</f>
        <v>8.7111111111110029E-3</v>
      </c>
      <c r="U73" s="108">
        <v>42619</v>
      </c>
      <c r="V73" s="108">
        <v>42646</v>
      </c>
      <c r="W73" s="108">
        <v>42685</v>
      </c>
      <c r="X73" s="108">
        <v>42691</v>
      </c>
      <c r="Y73" s="86">
        <v>42697</v>
      </c>
      <c r="Z73" s="218">
        <v>42697</v>
      </c>
      <c r="AA73" s="86" t="s">
        <v>608</v>
      </c>
      <c r="AB73" s="85" t="s">
        <v>609</v>
      </c>
      <c r="AC73" s="110">
        <v>42704</v>
      </c>
      <c r="AD73" s="110">
        <v>42775</v>
      </c>
      <c r="AE73" s="86" t="s">
        <v>693</v>
      </c>
      <c r="AF73" s="86" t="s">
        <v>740</v>
      </c>
      <c r="AG73" s="86" t="s">
        <v>1553</v>
      </c>
      <c r="AH73" s="210" t="s">
        <v>8</v>
      </c>
      <c r="AI73" s="91" t="s">
        <v>1541</v>
      </c>
    </row>
    <row r="74" spans="1:35" s="12" customFormat="1" ht="24" x14ac:dyDescent="0.25">
      <c r="A74" s="91">
        <v>72</v>
      </c>
      <c r="B74" s="91" t="s">
        <v>8</v>
      </c>
      <c r="C74" s="92" t="s">
        <v>53</v>
      </c>
      <c r="D74" s="92" t="s">
        <v>207</v>
      </c>
      <c r="E74" s="92" t="s">
        <v>836</v>
      </c>
      <c r="F74" s="91">
        <v>1</v>
      </c>
      <c r="G74" s="93">
        <v>30000</v>
      </c>
      <c r="H74" s="88">
        <f t="shared" si="2"/>
        <v>30000</v>
      </c>
      <c r="I74" s="88">
        <f>H74*1.22</f>
        <v>36600</v>
      </c>
      <c r="J74" s="91">
        <v>1</v>
      </c>
      <c r="K74" s="88">
        <v>25000</v>
      </c>
      <c r="L74" s="88">
        <f t="shared" ref="L74:L75" si="31">J74*K74</f>
        <v>25000</v>
      </c>
      <c r="M74" s="88">
        <f t="shared" si="30"/>
        <v>30500</v>
      </c>
      <c r="N74" s="86">
        <v>1</v>
      </c>
      <c r="O74" s="88">
        <v>23007.599999999999</v>
      </c>
      <c r="P74" s="88">
        <f>O74*N74</f>
        <v>23007.599999999999</v>
      </c>
      <c r="Q74" s="88">
        <f>P74*1.22</f>
        <v>28069.271999999997</v>
      </c>
      <c r="R74" s="85">
        <v>2019</v>
      </c>
      <c r="S74" s="211">
        <f t="shared" si="29"/>
        <v>8530.7280000000028</v>
      </c>
      <c r="T74" s="212">
        <f>1-Q74/M74</f>
        <v>7.96960000000001E-2</v>
      </c>
      <c r="U74" s="108">
        <v>43514</v>
      </c>
      <c r="V74" s="108">
        <v>43530</v>
      </c>
      <c r="W74" s="108">
        <v>43605</v>
      </c>
      <c r="X74" s="108">
        <v>43621</v>
      </c>
      <c r="Y74" s="86" t="s">
        <v>973</v>
      </c>
      <c r="Z74" s="218" t="s">
        <v>1078</v>
      </c>
      <c r="AA74" s="86">
        <v>7801537000</v>
      </c>
      <c r="AB74" s="85" t="s">
        <v>1068</v>
      </c>
      <c r="AC74" s="110">
        <v>43642</v>
      </c>
      <c r="AD74" s="110">
        <v>43657</v>
      </c>
      <c r="AE74" s="86" t="s">
        <v>1230</v>
      </c>
      <c r="AF74" s="86" t="s">
        <v>1598</v>
      </c>
      <c r="AG74" s="86" t="s">
        <v>1589</v>
      </c>
      <c r="AH74" s="210" t="s">
        <v>8</v>
      </c>
      <c r="AI74" s="91" t="s">
        <v>1541</v>
      </c>
    </row>
    <row r="75" spans="1:35" s="12" customFormat="1" ht="12" x14ac:dyDescent="0.25">
      <c r="A75" s="38">
        <v>73</v>
      </c>
      <c r="B75" s="6" t="s">
        <v>8</v>
      </c>
      <c r="C75" s="45" t="s">
        <v>53</v>
      </c>
      <c r="D75" s="5" t="s">
        <v>21</v>
      </c>
      <c r="E75" s="5" t="s">
        <v>547</v>
      </c>
      <c r="F75" s="6">
        <v>1</v>
      </c>
      <c r="G75" s="7">
        <v>50000</v>
      </c>
      <c r="H75" s="41">
        <f t="shared" si="2"/>
        <v>50000</v>
      </c>
      <c r="I75" s="41">
        <f>H75*1.22</f>
        <v>61000</v>
      </c>
      <c r="J75" s="6"/>
      <c r="K75" s="6"/>
      <c r="L75" s="41">
        <f t="shared" si="31"/>
        <v>0</v>
      </c>
      <c r="M75" s="41">
        <f t="shared" si="30"/>
        <v>0</v>
      </c>
      <c r="N75" s="6">
        <v>0</v>
      </c>
      <c r="O75" s="41">
        <v>0</v>
      </c>
      <c r="P75" s="41">
        <v>0</v>
      </c>
      <c r="Q75" s="41">
        <v>0</v>
      </c>
      <c r="R75" s="6"/>
      <c r="S75" s="74">
        <f t="shared" si="29"/>
        <v>61000</v>
      </c>
      <c r="T75" s="53" t="e">
        <f t="shared" ref="T75" si="32">1-Q75/M75</f>
        <v>#DIV/0!</v>
      </c>
      <c r="U75" s="6"/>
      <c r="V75" s="6"/>
      <c r="W75" s="6"/>
      <c r="X75" s="6"/>
      <c r="Y75" s="6"/>
      <c r="Z75" s="71"/>
      <c r="AA75" s="6"/>
      <c r="AB75" s="6"/>
      <c r="AC75" s="6"/>
      <c r="AD75" s="6"/>
      <c r="AE75" s="6"/>
      <c r="AF75" s="6"/>
      <c r="AG75" s="6"/>
      <c r="AH75" s="89" t="s">
        <v>8</v>
      </c>
      <c r="AI75" s="6" t="s">
        <v>1552</v>
      </c>
    </row>
    <row r="76" spans="1:35" s="140" customFormat="1" ht="24" x14ac:dyDescent="0.25">
      <c r="A76" s="91">
        <v>74</v>
      </c>
      <c r="B76" s="91" t="s">
        <v>8</v>
      </c>
      <c r="C76" s="92" t="s">
        <v>53</v>
      </c>
      <c r="D76" s="92" t="s">
        <v>291</v>
      </c>
      <c r="E76" s="92" t="s">
        <v>837</v>
      </c>
      <c r="F76" s="91">
        <v>2</v>
      </c>
      <c r="G76" s="93">
        <v>3200</v>
      </c>
      <c r="H76" s="88">
        <f t="shared" si="2"/>
        <v>6400</v>
      </c>
      <c r="I76" s="88">
        <f t="shared" ref="I76" si="33">H76*1.22</f>
        <v>7808</v>
      </c>
      <c r="J76" s="91">
        <v>2</v>
      </c>
      <c r="K76" s="88">
        <v>8000</v>
      </c>
      <c r="L76" s="88">
        <v>6400</v>
      </c>
      <c r="M76" s="88">
        <f t="shared" si="30"/>
        <v>7808</v>
      </c>
      <c r="N76" s="86">
        <v>2</v>
      </c>
      <c r="O76" s="88">
        <v>3200</v>
      </c>
      <c r="P76" s="88">
        <v>6400</v>
      </c>
      <c r="Q76" s="88">
        <v>7808</v>
      </c>
      <c r="R76" s="85">
        <v>2018</v>
      </c>
      <c r="S76" s="211">
        <f t="shared" si="29"/>
        <v>0</v>
      </c>
      <c r="T76" s="212">
        <f>1-Q76/M76</f>
        <v>0</v>
      </c>
      <c r="U76" s="108">
        <v>43060</v>
      </c>
      <c r="V76" s="108">
        <v>43081</v>
      </c>
      <c r="W76" s="108">
        <v>43194</v>
      </c>
      <c r="X76" s="108">
        <v>43200</v>
      </c>
      <c r="Y76" s="86" t="s">
        <v>880</v>
      </c>
      <c r="Z76" s="218">
        <v>43214</v>
      </c>
      <c r="AA76" s="86" t="s">
        <v>879</v>
      </c>
      <c r="AB76" s="85" t="s">
        <v>878</v>
      </c>
      <c r="AC76" s="110" t="s">
        <v>877</v>
      </c>
      <c r="AD76" s="110">
        <v>43277</v>
      </c>
      <c r="AE76" s="86" t="s">
        <v>881</v>
      </c>
      <c r="AF76" s="86" t="s">
        <v>954</v>
      </c>
      <c r="AG76" s="86" t="s">
        <v>1553</v>
      </c>
      <c r="AH76" s="210" t="s">
        <v>8</v>
      </c>
      <c r="AI76" s="91" t="s">
        <v>1541</v>
      </c>
    </row>
    <row r="77" spans="1:35" s="12" customFormat="1" ht="24" x14ac:dyDescent="0.25">
      <c r="A77" s="91">
        <v>75</v>
      </c>
      <c r="B77" s="91" t="s">
        <v>8</v>
      </c>
      <c r="C77" s="92" t="s">
        <v>53</v>
      </c>
      <c r="D77" s="92" t="s">
        <v>39</v>
      </c>
      <c r="E77" s="92" t="s">
        <v>210</v>
      </c>
      <c r="F77" s="91">
        <v>1</v>
      </c>
      <c r="G77" s="93">
        <v>65000</v>
      </c>
      <c r="H77" s="88">
        <f t="shared" si="2"/>
        <v>65000</v>
      </c>
      <c r="I77" s="88">
        <f>H77*1.22</f>
        <v>79300</v>
      </c>
      <c r="J77" s="91">
        <v>1</v>
      </c>
      <c r="K77" s="88">
        <v>95000</v>
      </c>
      <c r="L77" s="88">
        <f>J77*K77</f>
        <v>95000</v>
      </c>
      <c r="M77" s="88">
        <f t="shared" si="30"/>
        <v>115900</v>
      </c>
      <c r="N77" s="86">
        <v>1</v>
      </c>
      <c r="O77" s="88">
        <v>65000</v>
      </c>
      <c r="P77" s="88">
        <v>65000</v>
      </c>
      <c r="Q77" s="88">
        <v>79300</v>
      </c>
      <c r="R77" s="85">
        <v>2016</v>
      </c>
      <c r="S77" s="211">
        <f t="shared" si="29"/>
        <v>0</v>
      </c>
      <c r="T77" s="212">
        <f>1-Q77/M77</f>
        <v>0.31578947368421051</v>
      </c>
      <c r="U77" s="108">
        <v>42320</v>
      </c>
      <c r="V77" s="108">
        <v>42395</v>
      </c>
      <c r="W77" s="108">
        <v>42663</v>
      </c>
      <c r="X77" s="108">
        <v>42718</v>
      </c>
      <c r="Y77" s="86" t="s">
        <v>121</v>
      </c>
      <c r="Z77" s="218" t="s">
        <v>695</v>
      </c>
      <c r="AA77" s="86" t="s">
        <v>694</v>
      </c>
      <c r="AB77" s="85" t="s">
        <v>697</v>
      </c>
      <c r="AC77" s="110">
        <v>42747</v>
      </c>
      <c r="AD77" s="110">
        <v>42775</v>
      </c>
      <c r="AE77" s="86" t="s">
        <v>696</v>
      </c>
      <c r="AF77" s="86" t="s">
        <v>739</v>
      </c>
      <c r="AG77" s="86" t="s">
        <v>1553</v>
      </c>
      <c r="AH77" s="210" t="s">
        <v>8</v>
      </c>
      <c r="AI77" s="91" t="s">
        <v>1541</v>
      </c>
    </row>
    <row r="78" spans="1:35" s="12" customFormat="1" ht="24" x14ac:dyDescent="0.25">
      <c r="A78" s="91">
        <v>76</v>
      </c>
      <c r="B78" s="91" t="s">
        <v>8</v>
      </c>
      <c r="C78" s="92" t="s">
        <v>53</v>
      </c>
      <c r="D78" s="92" t="s">
        <v>1266</v>
      </c>
      <c r="E78" s="92" t="s">
        <v>232</v>
      </c>
      <c r="F78" s="91">
        <v>1</v>
      </c>
      <c r="G78" s="93">
        <v>22000</v>
      </c>
      <c r="H78" s="88">
        <f t="shared" si="2"/>
        <v>22000</v>
      </c>
      <c r="I78" s="88">
        <f t="shared" si="3"/>
        <v>26840</v>
      </c>
      <c r="J78" s="91">
        <v>1</v>
      </c>
      <c r="K78" s="88">
        <v>17500</v>
      </c>
      <c r="L78" s="88">
        <f t="shared" si="4"/>
        <v>17500</v>
      </c>
      <c r="M78" s="88">
        <f t="shared" si="30"/>
        <v>21350</v>
      </c>
      <c r="N78" s="86">
        <v>1</v>
      </c>
      <c r="O78" s="88">
        <v>17491.349999999999</v>
      </c>
      <c r="P78" s="88">
        <f>N78*O78</f>
        <v>17491.349999999999</v>
      </c>
      <c r="Q78" s="88">
        <f>P78*1.22</f>
        <v>21339.446999999996</v>
      </c>
      <c r="R78" s="85">
        <v>2021</v>
      </c>
      <c r="S78" s="211">
        <f t="shared" si="29"/>
        <v>5500.5530000000035</v>
      </c>
      <c r="T78" s="212">
        <f t="shared" si="20"/>
        <v>4.9428571428589141E-4</v>
      </c>
      <c r="U78" s="108">
        <v>44116</v>
      </c>
      <c r="V78" s="108">
        <v>44132</v>
      </c>
      <c r="W78" s="108">
        <v>44230</v>
      </c>
      <c r="X78" s="108">
        <v>43876</v>
      </c>
      <c r="Y78" s="86" t="s">
        <v>1504</v>
      </c>
      <c r="Z78" s="218" t="s">
        <v>1507</v>
      </c>
      <c r="AA78" s="86" t="s">
        <v>1268</v>
      </c>
      <c r="AB78" s="85" t="s">
        <v>1484</v>
      </c>
      <c r="AC78" s="110">
        <v>44313</v>
      </c>
      <c r="AD78" s="110">
        <v>44313</v>
      </c>
      <c r="AE78" s="86" t="s">
        <v>1584</v>
      </c>
      <c r="AF78" s="86" t="s">
        <v>1605</v>
      </c>
      <c r="AG78" s="86" t="s">
        <v>1589</v>
      </c>
      <c r="AH78" s="210" t="s">
        <v>8</v>
      </c>
      <c r="AI78" s="91" t="s">
        <v>1585</v>
      </c>
    </row>
    <row r="79" spans="1:35" s="12" customFormat="1" ht="24" x14ac:dyDescent="0.25">
      <c r="A79" s="91">
        <v>77</v>
      </c>
      <c r="B79" s="91" t="s">
        <v>8</v>
      </c>
      <c r="C79" s="92" t="s">
        <v>53</v>
      </c>
      <c r="D79" s="92" t="s">
        <v>28</v>
      </c>
      <c r="E79" s="92" t="s">
        <v>501</v>
      </c>
      <c r="F79" s="91">
        <v>2</v>
      </c>
      <c r="G79" s="93">
        <v>12617.83</v>
      </c>
      <c r="H79" s="88">
        <f t="shared" si="2"/>
        <v>25235.66</v>
      </c>
      <c r="I79" s="88">
        <f>H79*1.22</f>
        <v>30787.5052</v>
      </c>
      <c r="J79" s="91">
        <v>2</v>
      </c>
      <c r="K79" s="88">
        <v>12711.47</v>
      </c>
      <c r="L79" s="88">
        <f>J79*K79</f>
        <v>25422.94</v>
      </c>
      <c r="M79" s="88">
        <f t="shared" si="30"/>
        <v>31015.986799999999</v>
      </c>
      <c r="N79" s="86">
        <v>2</v>
      </c>
      <c r="O79" s="88">
        <v>12712.73</v>
      </c>
      <c r="P79" s="88">
        <v>25425.46</v>
      </c>
      <c r="Q79" s="88">
        <v>31019.061199999996</v>
      </c>
      <c r="R79" s="85">
        <v>2016</v>
      </c>
      <c r="S79" s="211">
        <f t="shared" si="29"/>
        <v>-231.55599999999686</v>
      </c>
      <c r="T79" s="212">
        <f>1-Q79/M79</f>
        <v>-9.9123075458562582E-5</v>
      </c>
      <c r="U79" s="108">
        <v>42634</v>
      </c>
      <c r="V79" s="108">
        <v>42643</v>
      </c>
      <c r="W79" s="108">
        <v>42660</v>
      </c>
      <c r="X79" s="108">
        <v>42685</v>
      </c>
      <c r="Y79" s="86" t="s">
        <v>591</v>
      </c>
      <c r="Z79" s="218" t="s">
        <v>679</v>
      </c>
      <c r="AA79" s="86" t="s">
        <v>590</v>
      </c>
      <c r="AB79" s="85" t="s">
        <v>592</v>
      </c>
      <c r="AC79" s="110">
        <v>42731</v>
      </c>
      <c r="AD79" s="110">
        <v>42753</v>
      </c>
      <c r="AE79" s="86" t="s">
        <v>662</v>
      </c>
      <c r="AF79" s="86" t="s">
        <v>692</v>
      </c>
      <c r="AG79" s="86" t="s">
        <v>1553</v>
      </c>
      <c r="AH79" s="210" t="s">
        <v>8</v>
      </c>
      <c r="AI79" s="91" t="s">
        <v>1541</v>
      </c>
    </row>
    <row r="80" spans="1:35" s="12" customFormat="1" ht="24" x14ac:dyDescent="0.25">
      <c r="A80" s="91">
        <v>78</v>
      </c>
      <c r="B80" s="91" t="s">
        <v>8</v>
      </c>
      <c r="C80" s="92" t="s">
        <v>53</v>
      </c>
      <c r="D80" s="92" t="s">
        <v>34</v>
      </c>
      <c r="E80" s="92" t="s">
        <v>500</v>
      </c>
      <c r="F80" s="91">
        <v>3</v>
      </c>
      <c r="G80" s="93">
        <v>8500</v>
      </c>
      <c r="H80" s="88">
        <f t="shared" si="2"/>
        <v>25500</v>
      </c>
      <c r="I80" s="88">
        <f t="shared" si="3"/>
        <v>31110</v>
      </c>
      <c r="J80" s="91">
        <v>3</v>
      </c>
      <c r="K80" s="88">
        <f>130000/15</f>
        <v>8666.6666666666661</v>
      </c>
      <c r="L80" s="88">
        <f t="shared" si="4"/>
        <v>26000</v>
      </c>
      <c r="M80" s="88">
        <f t="shared" si="5"/>
        <v>31720</v>
      </c>
      <c r="N80" s="86">
        <v>3</v>
      </c>
      <c r="O80" s="88">
        <v>8660</v>
      </c>
      <c r="P80" s="88">
        <f>O80*N80</f>
        <v>25980</v>
      </c>
      <c r="Q80" s="88">
        <f>P80</f>
        <v>25980</v>
      </c>
      <c r="R80" s="85">
        <v>2020</v>
      </c>
      <c r="S80" s="211">
        <f t="shared" si="29"/>
        <v>5130</v>
      </c>
      <c r="T80" s="212">
        <f t="shared" si="20"/>
        <v>0.18095838587641866</v>
      </c>
      <c r="U80" s="108">
        <v>43678</v>
      </c>
      <c r="V80" s="108">
        <v>43735</v>
      </c>
      <c r="W80" s="108">
        <v>44110</v>
      </c>
      <c r="X80" s="108">
        <v>44116</v>
      </c>
      <c r="Y80" s="86" t="s">
        <v>1454</v>
      </c>
      <c r="Z80" s="218" t="s">
        <v>1455</v>
      </c>
      <c r="AA80" s="86">
        <v>7970577836</v>
      </c>
      <c r="AB80" s="85" t="s">
        <v>1485</v>
      </c>
      <c r="AC80" s="110">
        <v>44195</v>
      </c>
      <c r="AD80" s="110">
        <v>44223</v>
      </c>
      <c r="AE80" s="86" t="s">
        <v>1554</v>
      </c>
      <c r="AF80" s="86" t="s">
        <v>1597</v>
      </c>
      <c r="AG80" s="86" t="s">
        <v>1589</v>
      </c>
      <c r="AH80" s="210" t="s">
        <v>1546</v>
      </c>
      <c r="AI80" s="91" t="s">
        <v>1541</v>
      </c>
    </row>
    <row r="81" spans="1:35" ht="12" x14ac:dyDescent="0.25">
      <c r="A81" s="38">
        <v>79</v>
      </c>
      <c r="B81" s="40" t="s">
        <v>8</v>
      </c>
      <c r="C81" s="39" t="s">
        <v>53</v>
      </c>
      <c r="D81" s="43" t="s">
        <v>55</v>
      </c>
      <c r="E81" s="39" t="s">
        <v>58</v>
      </c>
      <c r="F81" s="40">
        <v>1</v>
      </c>
      <c r="G81" s="41">
        <v>5500</v>
      </c>
      <c r="H81" s="41">
        <f t="shared" si="2"/>
        <v>5500</v>
      </c>
      <c r="I81" s="41">
        <f t="shared" si="3"/>
        <v>6710</v>
      </c>
      <c r="J81" s="41"/>
      <c r="K81" s="68"/>
      <c r="L81" s="41">
        <f t="shared" si="4"/>
        <v>0</v>
      </c>
      <c r="M81" s="41">
        <f t="shared" si="5"/>
        <v>0</v>
      </c>
      <c r="N81" s="38"/>
      <c r="O81" s="68"/>
      <c r="P81" s="41">
        <v>0</v>
      </c>
      <c r="Q81" s="41">
        <v>0</v>
      </c>
      <c r="R81" s="38"/>
      <c r="S81" s="74"/>
      <c r="T81" s="53" t="e">
        <f t="shared" si="20"/>
        <v>#DIV/0!</v>
      </c>
      <c r="U81" s="38"/>
      <c r="V81" s="38"/>
      <c r="W81" s="38"/>
      <c r="X81" s="38"/>
      <c r="Y81" s="38"/>
      <c r="Z81" s="113"/>
      <c r="AA81" s="38"/>
      <c r="AB81" s="38"/>
      <c r="AC81" s="38"/>
      <c r="AD81" s="38"/>
      <c r="AE81" s="38"/>
      <c r="AF81" s="40"/>
      <c r="AG81" s="38"/>
      <c r="AH81" s="89" t="s">
        <v>8</v>
      </c>
      <c r="AI81" s="6" t="s">
        <v>1547</v>
      </c>
    </row>
    <row r="82" spans="1:35" s="12" customFormat="1" ht="24" x14ac:dyDescent="0.25">
      <c r="A82" s="91">
        <v>80</v>
      </c>
      <c r="B82" s="91" t="s">
        <v>8</v>
      </c>
      <c r="C82" s="92" t="s">
        <v>234</v>
      </c>
      <c r="D82" s="92" t="s">
        <v>235</v>
      </c>
      <c r="E82" s="92" t="s">
        <v>545</v>
      </c>
      <c r="F82" s="91">
        <v>2</v>
      </c>
      <c r="G82" s="93">
        <v>2980</v>
      </c>
      <c r="H82" s="88">
        <f t="shared" si="2"/>
        <v>5960</v>
      </c>
      <c r="I82" s="88">
        <f t="shared" si="3"/>
        <v>7271.2</v>
      </c>
      <c r="J82" s="91">
        <v>2</v>
      </c>
      <c r="K82" s="88">
        <v>2980</v>
      </c>
      <c r="L82" s="88">
        <f t="shared" si="4"/>
        <v>5960</v>
      </c>
      <c r="M82" s="88">
        <f t="shared" si="5"/>
        <v>7271.2</v>
      </c>
      <c r="N82" s="86">
        <v>2</v>
      </c>
      <c r="O82" s="88">
        <v>2980</v>
      </c>
      <c r="P82" s="88">
        <v>5960</v>
      </c>
      <c r="Q82" s="88">
        <v>7271.2</v>
      </c>
      <c r="R82" s="85">
        <v>2016</v>
      </c>
      <c r="S82" s="211">
        <f t="shared" si="28"/>
        <v>0</v>
      </c>
      <c r="T82" s="212">
        <f t="shared" si="20"/>
        <v>0</v>
      </c>
      <c r="U82" s="108">
        <v>42542</v>
      </c>
      <c r="V82" s="108">
        <v>42545</v>
      </c>
      <c r="W82" s="108">
        <v>42548</v>
      </c>
      <c r="X82" s="108">
        <v>42550</v>
      </c>
      <c r="Y82" s="86" t="s">
        <v>796</v>
      </c>
      <c r="Z82" s="218" t="s">
        <v>797</v>
      </c>
      <c r="AA82" s="86" t="s">
        <v>793</v>
      </c>
      <c r="AB82" s="85" t="s">
        <v>121</v>
      </c>
      <c r="AC82" s="110" t="s">
        <v>798</v>
      </c>
      <c r="AD82" s="110"/>
      <c r="AE82" s="86" t="s">
        <v>794</v>
      </c>
      <c r="AF82" s="86" t="s">
        <v>795</v>
      </c>
      <c r="AG82" s="86" t="s">
        <v>1553</v>
      </c>
      <c r="AH82" s="210" t="s">
        <v>8</v>
      </c>
      <c r="AI82" s="91" t="s">
        <v>1541</v>
      </c>
    </row>
    <row r="83" spans="1:35" s="12" customFormat="1" ht="24" x14ac:dyDescent="0.25">
      <c r="A83" s="91">
        <v>81</v>
      </c>
      <c r="B83" s="91" t="s">
        <v>8</v>
      </c>
      <c r="C83" s="92" t="s">
        <v>234</v>
      </c>
      <c r="D83" s="92" t="s">
        <v>235</v>
      </c>
      <c r="E83" s="92" t="s">
        <v>54</v>
      </c>
      <c r="F83" s="91">
        <v>1</v>
      </c>
      <c r="G83" s="93">
        <v>17660</v>
      </c>
      <c r="H83" s="88">
        <f t="shared" ref="H83:H86" si="34">F83*G83</f>
        <v>17660</v>
      </c>
      <c r="I83" s="88">
        <f>H83*1.22</f>
        <v>21545.200000000001</v>
      </c>
      <c r="J83" s="91">
        <v>1</v>
      </c>
      <c r="K83" s="88">
        <v>57000</v>
      </c>
      <c r="L83" s="88">
        <f>J83*K83</f>
        <v>57000</v>
      </c>
      <c r="M83" s="88">
        <f>L83*1.22</f>
        <v>69540</v>
      </c>
      <c r="N83" s="86">
        <v>1</v>
      </c>
      <c r="O83" s="88">
        <v>17660</v>
      </c>
      <c r="P83" s="88">
        <v>17660</v>
      </c>
      <c r="Q83" s="88">
        <v>21545.200000000001</v>
      </c>
      <c r="R83" s="85">
        <v>2016</v>
      </c>
      <c r="S83" s="211">
        <f>I83-Q83</f>
        <v>0</v>
      </c>
      <c r="T83" s="212">
        <f>1-Q83/M83</f>
        <v>0.69017543859649122</v>
      </c>
      <c r="U83" s="108">
        <v>42297</v>
      </c>
      <c r="V83" s="108">
        <v>42349</v>
      </c>
      <c r="W83" s="108">
        <v>42506</v>
      </c>
      <c r="X83" s="108">
        <v>42531</v>
      </c>
      <c r="Y83" s="86" t="s">
        <v>492</v>
      </c>
      <c r="Z83" s="218" t="s">
        <v>613</v>
      </c>
      <c r="AA83" s="86" t="s">
        <v>493</v>
      </c>
      <c r="AB83" s="85" t="s">
        <v>543</v>
      </c>
      <c r="AC83" s="110">
        <v>42607</v>
      </c>
      <c r="AD83" s="110">
        <v>42622</v>
      </c>
      <c r="AE83" s="86" t="s">
        <v>595</v>
      </c>
      <c r="AF83" s="86" t="s">
        <v>614</v>
      </c>
      <c r="AG83" s="86" t="s">
        <v>1553</v>
      </c>
      <c r="AH83" s="210" t="s">
        <v>8</v>
      </c>
      <c r="AI83" s="91" t="s">
        <v>1541</v>
      </c>
    </row>
    <row r="84" spans="1:35" s="12" customFormat="1" ht="24" x14ac:dyDescent="0.25">
      <c r="A84" s="91">
        <v>82</v>
      </c>
      <c r="B84" s="91" t="s">
        <v>8</v>
      </c>
      <c r="C84" s="92" t="s">
        <v>636</v>
      </c>
      <c r="D84" s="92" t="s">
        <v>751</v>
      </c>
      <c r="E84" s="92" t="s">
        <v>90</v>
      </c>
      <c r="F84" s="91">
        <v>1</v>
      </c>
      <c r="G84" s="93">
        <v>5294</v>
      </c>
      <c r="H84" s="88">
        <f t="shared" si="34"/>
        <v>5294</v>
      </c>
      <c r="I84" s="88">
        <f>H84*1.22</f>
        <v>6458.68</v>
      </c>
      <c r="J84" s="91">
        <v>1</v>
      </c>
      <c r="K84" s="88">
        <v>6500</v>
      </c>
      <c r="L84" s="88">
        <f>J84*K84</f>
        <v>6500</v>
      </c>
      <c r="M84" s="88">
        <f>L84*1.22</f>
        <v>7930</v>
      </c>
      <c r="N84" s="86">
        <v>1</v>
      </c>
      <c r="O84" s="88">
        <v>5294</v>
      </c>
      <c r="P84" s="88">
        <v>5294</v>
      </c>
      <c r="Q84" s="88">
        <v>6458.68</v>
      </c>
      <c r="R84" s="85">
        <v>2018</v>
      </c>
      <c r="S84" s="211">
        <f>I84-Q84</f>
        <v>0</v>
      </c>
      <c r="T84" s="212">
        <f>1-Q84/M84</f>
        <v>0.18553846153846154</v>
      </c>
      <c r="U84" s="108">
        <v>43066</v>
      </c>
      <c r="V84" s="108">
        <v>43084</v>
      </c>
      <c r="W84" s="108">
        <v>43168</v>
      </c>
      <c r="X84" s="108">
        <v>43188</v>
      </c>
      <c r="Y84" s="86" t="s">
        <v>820</v>
      </c>
      <c r="Z84" s="218" t="s">
        <v>821</v>
      </c>
      <c r="AA84" s="86" t="s">
        <v>822</v>
      </c>
      <c r="AB84" s="85" t="s">
        <v>823</v>
      </c>
      <c r="AC84" s="110">
        <v>43201</v>
      </c>
      <c r="AD84" s="110">
        <v>43217</v>
      </c>
      <c r="AE84" s="86" t="s">
        <v>852</v>
      </c>
      <c r="AF84" s="86" t="s">
        <v>856</v>
      </c>
      <c r="AG84" s="86" t="s">
        <v>1553</v>
      </c>
      <c r="AH84" s="210" t="s">
        <v>8</v>
      </c>
      <c r="AI84" s="91" t="s">
        <v>1541</v>
      </c>
    </row>
    <row r="85" spans="1:35" s="12" customFormat="1" ht="24" x14ac:dyDescent="0.25">
      <c r="A85" s="91">
        <v>83</v>
      </c>
      <c r="B85" s="91" t="s">
        <v>8</v>
      </c>
      <c r="C85" s="92" t="s">
        <v>316</v>
      </c>
      <c r="D85" s="92" t="s">
        <v>196</v>
      </c>
      <c r="E85" s="92" t="s">
        <v>637</v>
      </c>
      <c r="F85" s="91">
        <v>1</v>
      </c>
      <c r="G85" s="93">
        <v>3445</v>
      </c>
      <c r="H85" s="88">
        <f t="shared" si="34"/>
        <v>3445</v>
      </c>
      <c r="I85" s="88">
        <f t="shared" ref="I85" si="35">H85*1.22</f>
        <v>4202.8999999999996</v>
      </c>
      <c r="J85" s="91">
        <v>1</v>
      </c>
      <c r="K85" s="88">
        <v>3500</v>
      </c>
      <c r="L85" s="88">
        <f>J85*K85</f>
        <v>3500</v>
      </c>
      <c r="M85" s="88">
        <f t="shared" ref="M85:M86" si="36">L85*1.22</f>
        <v>4270</v>
      </c>
      <c r="N85" s="86">
        <v>1</v>
      </c>
      <c r="O85" s="88">
        <v>3445</v>
      </c>
      <c r="P85" s="88">
        <v>3445</v>
      </c>
      <c r="Q85" s="88">
        <v>4202.8999999999996</v>
      </c>
      <c r="R85" s="85">
        <v>2017</v>
      </c>
      <c r="S85" s="211">
        <f>I85-Q85</f>
        <v>0</v>
      </c>
      <c r="T85" s="212">
        <f t="shared" ref="T85:T86" si="37">1-Q85/M85</f>
        <v>1.5714285714285792E-2</v>
      </c>
      <c r="U85" s="108">
        <v>42958</v>
      </c>
      <c r="V85" s="108">
        <v>42997</v>
      </c>
      <c r="W85" s="108">
        <v>42998</v>
      </c>
      <c r="X85" s="108">
        <v>43014</v>
      </c>
      <c r="Y85" s="86" t="s">
        <v>749</v>
      </c>
      <c r="Z85" s="218" t="s">
        <v>750</v>
      </c>
      <c r="AA85" s="86" t="s">
        <v>748</v>
      </c>
      <c r="AB85" s="85" t="s">
        <v>121</v>
      </c>
      <c r="AC85" s="110">
        <v>43033</v>
      </c>
      <c r="AD85" s="110">
        <v>43074</v>
      </c>
      <c r="AE85" s="86" t="s">
        <v>758</v>
      </c>
      <c r="AF85" s="86" t="s">
        <v>800</v>
      </c>
      <c r="AG85" s="86" t="s">
        <v>1553</v>
      </c>
      <c r="AH85" s="210" t="s">
        <v>8</v>
      </c>
      <c r="AI85" s="91" t="s">
        <v>1541</v>
      </c>
    </row>
    <row r="86" spans="1:35" s="12" customFormat="1" ht="24" x14ac:dyDescent="0.25">
      <c r="A86" s="91">
        <v>84</v>
      </c>
      <c r="B86" s="91" t="s">
        <v>8</v>
      </c>
      <c r="C86" s="92" t="s">
        <v>838</v>
      </c>
      <c r="D86" s="92" t="s">
        <v>196</v>
      </c>
      <c r="E86" s="92" t="s">
        <v>81</v>
      </c>
      <c r="F86" s="91">
        <v>1</v>
      </c>
      <c r="G86" s="93">
        <v>5250</v>
      </c>
      <c r="H86" s="88">
        <f t="shared" si="34"/>
        <v>5250</v>
      </c>
      <c r="I86" s="88">
        <f>H86*1.22</f>
        <v>6405</v>
      </c>
      <c r="J86" s="91">
        <v>1</v>
      </c>
      <c r="K86" s="88">
        <f>2000+1820+2640</f>
        <v>6460</v>
      </c>
      <c r="L86" s="88">
        <f>J86*K86</f>
        <v>6460</v>
      </c>
      <c r="M86" s="88">
        <f t="shared" si="36"/>
        <v>7881.2</v>
      </c>
      <c r="N86" s="86">
        <v>1</v>
      </c>
      <c r="O86" s="88">
        <f>1070+1881.25+2311.25</f>
        <v>5262.5</v>
      </c>
      <c r="P86" s="88">
        <f t="shared" ref="P86" si="38">N86*O86</f>
        <v>5262.5</v>
      </c>
      <c r="Q86" s="88">
        <f t="shared" ref="Q86" si="39">P86*1.22</f>
        <v>6420.25</v>
      </c>
      <c r="R86" s="85">
        <v>2019</v>
      </c>
      <c r="S86" s="211">
        <f>I86-Q86</f>
        <v>-15.25</v>
      </c>
      <c r="T86" s="212">
        <f t="shared" si="37"/>
        <v>0.18537151702786381</v>
      </c>
      <c r="U86" s="108">
        <v>43353</v>
      </c>
      <c r="V86" s="108">
        <v>43363</v>
      </c>
      <c r="W86" s="108">
        <v>43551</v>
      </c>
      <c r="X86" s="108">
        <v>43570</v>
      </c>
      <c r="Y86" s="86" t="s">
        <v>1095</v>
      </c>
      <c r="Z86" s="218" t="s">
        <v>1094</v>
      </c>
      <c r="AA86" s="86">
        <v>7615936534</v>
      </c>
      <c r="AB86" s="85" t="s">
        <v>1027</v>
      </c>
      <c r="AC86" s="110">
        <v>43614</v>
      </c>
      <c r="AD86" s="110">
        <v>43675</v>
      </c>
      <c r="AE86" s="86" t="s">
        <v>1120</v>
      </c>
      <c r="AF86" s="86" t="s">
        <v>1439</v>
      </c>
      <c r="AG86" s="86" t="s">
        <v>1589</v>
      </c>
      <c r="AH86" s="210" t="s">
        <v>8</v>
      </c>
      <c r="AI86" s="91" t="s">
        <v>1541</v>
      </c>
    </row>
    <row r="87" spans="1:35" ht="12" x14ac:dyDescent="0.25">
      <c r="A87" s="448" t="s">
        <v>59</v>
      </c>
      <c r="B87" s="449"/>
      <c r="C87" s="449"/>
      <c r="D87" s="449"/>
      <c r="E87" s="449"/>
      <c r="F87" s="449"/>
      <c r="G87" s="449"/>
      <c r="H87" s="450"/>
      <c r="I87" s="75">
        <f>SUM(I2:I86)</f>
        <v>4100201.4475800004</v>
      </c>
      <c r="J87" s="76"/>
      <c r="P87" s="82"/>
      <c r="Q87" s="75">
        <f>SUM(Q2:Q86)</f>
        <v>3476015.7279800004</v>
      </c>
      <c r="S87" s="176">
        <f>SUM(S2:S86)</f>
        <v>583315.71959999995</v>
      </c>
      <c r="Y87" s="77"/>
      <c r="AA87" s="77"/>
      <c r="AC87" s="77"/>
      <c r="AE87" s="77"/>
      <c r="AF87" s="79"/>
    </row>
    <row r="88" spans="1:35" ht="12" x14ac:dyDescent="0.25">
      <c r="M88" s="202"/>
      <c r="S88" s="202"/>
      <c r="Y88" s="77"/>
      <c r="AA88" s="77"/>
      <c r="AE88" s="77"/>
      <c r="AF88" s="79"/>
    </row>
    <row r="89" spans="1:35" ht="12" x14ac:dyDescent="0.25">
      <c r="Y89" s="77"/>
      <c r="AA89" s="77"/>
      <c r="AE89" s="77"/>
      <c r="AF89" s="79"/>
    </row>
    <row r="90" spans="1:35" ht="12" x14ac:dyDescent="0.25">
      <c r="O90" s="83"/>
      <c r="Q90" s="276"/>
      <c r="S90" s="277"/>
      <c r="Y90" s="77"/>
      <c r="AA90" s="77"/>
      <c r="AE90" s="77"/>
      <c r="AF90" s="79"/>
    </row>
    <row r="91" spans="1:35" x14ac:dyDescent="0.25">
      <c r="K91" s="115"/>
    </row>
    <row r="92" spans="1:35" x14ac:dyDescent="0.25">
      <c r="K92" s="116"/>
    </row>
    <row r="101" spans="26:26" x14ac:dyDescent="0.25">
      <c r="Z101" s="84" t="s">
        <v>1508</v>
      </c>
    </row>
  </sheetData>
  <autoFilter ref="A1:AI88"/>
  <mergeCells count="1">
    <mergeCell ref="A87:H87"/>
  </mergeCells>
  <printOptions horizontalCentered="1"/>
  <pageMargins left="0" right="0" top="0.39370078740157483" bottom="0.39370078740157483" header="0.23622047244094491" footer="0.23622047244094491"/>
  <pageSetup paperSize="9" scale="60" orientation="portrait" r:id="rId1"/>
  <headerFooter alignWithMargins="0">
    <oddHeader>&amp;CPRONTO SOCCORSO TERRITORIALE MATERA 2019 - D.G.R. 1486/2015; 134/2017 - CUP D96G15001790002</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3"/>
  <sheetViews>
    <sheetView zoomScale="80" zoomScaleNormal="80" workbookViewId="0">
      <selection activeCell="G6" sqref="G6"/>
    </sheetView>
  </sheetViews>
  <sheetFormatPr defaultColWidth="9.140625" defaultRowHeight="12" x14ac:dyDescent="0.25"/>
  <cols>
    <col min="1" max="1" width="4" style="11" bestFit="1" customWidth="1"/>
    <col min="2" max="2" width="6.85546875" style="13" customWidth="1"/>
    <col min="3" max="3" width="10.140625" style="16" customWidth="1"/>
    <col min="4" max="4" width="5.7109375" style="12" customWidth="1"/>
    <col min="5" max="5" width="22.140625" style="12" customWidth="1"/>
    <col min="6" max="6" width="5.85546875" style="13" customWidth="1"/>
    <col min="7" max="7" width="11.28515625" style="14" customWidth="1"/>
    <col min="8" max="8" width="10.5703125" style="14" customWidth="1"/>
    <col min="9" max="9" width="17.42578125" style="14" bestFit="1" customWidth="1"/>
    <col min="10" max="10" width="5.85546875" style="13" customWidth="1"/>
    <col min="11" max="11" width="11.28515625" style="14" customWidth="1"/>
    <col min="12" max="12" width="10.5703125" style="14" customWidth="1"/>
    <col min="13" max="13" width="11.7109375" style="14" customWidth="1"/>
    <col min="14" max="14" width="5.85546875" style="13" customWidth="1"/>
    <col min="15" max="15" width="11.28515625" style="14" customWidth="1"/>
    <col min="16" max="16" width="10.5703125" style="14" customWidth="1"/>
    <col min="17" max="17" width="17" style="14" bestFit="1" customWidth="1"/>
    <col min="18" max="18" width="9.140625" style="11" customWidth="1"/>
    <col min="19" max="19" width="11.28515625" style="11" customWidth="1"/>
    <col min="20" max="20" width="11.28515625" style="49" customWidth="1"/>
    <col min="21" max="21" width="12" style="11" customWidth="1"/>
    <col min="22" max="24" width="12.28515625" style="11" customWidth="1"/>
    <col min="25" max="25" width="20" style="11" customWidth="1"/>
    <col min="26" max="26" width="16.85546875" style="11" customWidth="1"/>
    <col min="27" max="27" width="16.5703125" style="11" customWidth="1"/>
    <col min="28" max="28" width="27.42578125" style="11" customWidth="1"/>
    <col min="29" max="29" width="11.5703125" style="11" customWidth="1"/>
    <col min="30" max="30" width="16" style="11" bestFit="1" customWidth="1"/>
    <col min="31" max="31" width="29" style="11" customWidth="1"/>
    <col min="32" max="32" width="35.140625" style="11" bestFit="1" customWidth="1"/>
    <col min="33" max="33" width="18.42578125" style="11" customWidth="1"/>
    <col min="34" max="34" width="9.140625" style="11"/>
    <col min="35" max="16384" width="9.140625" style="8"/>
  </cols>
  <sheetData>
    <row r="1" spans="1:35" s="3" customFormat="1" ht="36" x14ac:dyDescent="0.25">
      <c r="A1" s="66" t="s">
        <v>0</v>
      </c>
      <c r="B1" s="66" t="s">
        <v>1</v>
      </c>
      <c r="C1" s="66" t="s">
        <v>2</v>
      </c>
      <c r="D1" s="66" t="s">
        <v>3</v>
      </c>
      <c r="E1" s="66" t="s">
        <v>4</v>
      </c>
      <c r="F1" s="66" t="s">
        <v>5</v>
      </c>
      <c r="G1" s="66" t="s">
        <v>186</v>
      </c>
      <c r="H1" s="66" t="s">
        <v>92</v>
      </c>
      <c r="I1" s="66" t="s">
        <v>61</v>
      </c>
      <c r="J1" s="66" t="s">
        <v>5</v>
      </c>
      <c r="K1" s="66" t="s">
        <v>105</v>
      </c>
      <c r="L1" s="66" t="s">
        <v>92</v>
      </c>
      <c r="M1" s="66" t="s">
        <v>61</v>
      </c>
      <c r="N1" s="66" t="s">
        <v>5</v>
      </c>
      <c r="O1" s="66" t="s">
        <v>67</v>
      </c>
      <c r="P1" s="66" t="s">
        <v>6</v>
      </c>
      <c r="Q1" s="66" t="s">
        <v>7</v>
      </c>
      <c r="R1" s="66" t="s">
        <v>313</v>
      </c>
      <c r="S1" s="66" t="s">
        <v>93</v>
      </c>
      <c r="T1" s="66" t="s">
        <v>268</v>
      </c>
      <c r="U1" s="66" t="s">
        <v>106</v>
      </c>
      <c r="V1" s="66" t="s">
        <v>107</v>
      </c>
      <c r="W1" s="66" t="s">
        <v>108</v>
      </c>
      <c r="X1" s="66" t="s">
        <v>109</v>
      </c>
      <c r="Y1" s="66" t="s">
        <v>110</v>
      </c>
      <c r="Z1" s="66" t="s">
        <v>111</v>
      </c>
      <c r="AA1" s="66" t="s">
        <v>112</v>
      </c>
      <c r="AB1" s="66" t="s">
        <v>113</v>
      </c>
      <c r="AC1" s="66" t="s">
        <v>114</v>
      </c>
      <c r="AD1" s="66" t="s">
        <v>115</v>
      </c>
      <c r="AE1" s="66" t="s">
        <v>116</v>
      </c>
      <c r="AF1" s="66" t="s">
        <v>117</v>
      </c>
      <c r="AG1" s="66" t="s">
        <v>118</v>
      </c>
      <c r="AH1" s="18" t="s">
        <v>1544</v>
      </c>
      <c r="AI1" s="169" t="s">
        <v>1540</v>
      </c>
    </row>
    <row r="2" spans="1:35" x14ac:dyDescent="0.25">
      <c r="A2" s="96">
        <v>1</v>
      </c>
      <c r="B2" s="92" t="s">
        <v>8</v>
      </c>
      <c r="C2" s="97" t="s">
        <v>9</v>
      </c>
      <c r="D2" s="92" t="s">
        <v>84</v>
      </c>
      <c r="E2" s="92" t="s">
        <v>85</v>
      </c>
      <c r="F2" s="91">
        <v>1</v>
      </c>
      <c r="G2" s="93">
        <v>1430</v>
      </c>
      <c r="H2" s="93">
        <f t="shared" ref="H2:H9" si="0">F2*G2</f>
        <v>1430</v>
      </c>
      <c r="I2" s="93">
        <f t="shared" ref="I2:I9" si="1">H2*1.22</f>
        <v>1744.6</v>
      </c>
      <c r="J2" s="91">
        <v>1</v>
      </c>
      <c r="K2" s="93">
        <v>1430</v>
      </c>
      <c r="L2" s="93">
        <f t="shared" ref="L2:L9" si="2">J2*K2</f>
        <v>1430</v>
      </c>
      <c r="M2" s="93">
        <f t="shared" ref="M2:M9" si="3">L2*1.22</f>
        <v>1744.6</v>
      </c>
      <c r="N2" s="91">
        <v>1</v>
      </c>
      <c r="O2" s="93">
        <v>1430</v>
      </c>
      <c r="P2" s="93">
        <f t="shared" ref="P2:P9" si="4">N2*O2</f>
        <v>1430</v>
      </c>
      <c r="Q2" s="93">
        <f t="shared" ref="Q2:Q9" si="5">P2*1.22</f>
        <v>1744.6</v>
      </c>
      <c r="R2" s="96">
        <v>2015</v>
      </c>
      <c r="S2" s="99">
        <f>I2-Q2</f>
        <v>0</v>
      </c>
      <c r="T2" s="100">
        <f>1-Q2/M2</f>
        <v>0</v>
      </c>
      <c r="U2" s="101">
        <v>41948</v>
      </c>
      <c r="V2" s="101">
        <v>41963</v>
      </c>
      <c r="W2" s="101">
        <v>42070</v>
      </c>
      <c r="X2" s="101">
        <v>42076</v>
      </c>
      <c r="Y2" s="96" t="s">
        <v>146</v>
      </c>
      <c r="Z2" s="102">
        <v>42073</v>
      </c>
      <c r="AA2" s="96" t="s">
        <v>147</v>
      </c>
      <c r="AB2" s="96" t="s">
        <v>148</v>
      </c>
      <c r="AC2" s="102">
        <v>42124</v>
      </c>
      <c r="AD2" s="102">
        <v>42139</v>
      </c>
      <c r="AE2" s="96" t="s">
        <v>323</v>
      </c>
      <c r="AF2" s="96" t="s">
        <v>648</v>
      </c>
      <c r="AG2" s="91" t="s">
        <v>448</v>
      </c>
      <c r="AH2" s="93" t="s">
        <v>8</v>
      </c>
      <c r="AI2" s="91" t="s">
        <v>1541</v>
      </c>
    </row>
    <row r="3" spans="1:35" x14ac:dyDescent="0.25">
      <c r="A3" s="96">
        <v>2</v>
      </c>
      <c r="B3" s="92" t="s">
        <v>8</v>
      </c>
      <c r="C3" s="97" t="s">
        <v>9</v>
      </c>
      <c r="D3" s="92" t="s">
        <v>84</v>
      </c>
      <c r="E3" s="92" t="s">
        <v>86</v>
      </c>
      <c r="F3" s="91">
        <v>1</v>
      </c>
      <c r="G3" s="93">
        <v>1890</v>
      </c>
      <c r="H3" s="93">
        <f t="shared" si="0"/>
        <v>1890</v>
      </c>
      <c r="I3" s="93">
        <f t="shared" si="1"/>
        <v>2305.7999999999997</v>
      </c>
      <c r="J3" s="91">
        <v>1</v>
      </c>
      <c r="K3" s="93">
        <v>1890</v>
      </c>
      <c r="L3" s="93">
        <f t="shared" si="2"/>
        <v>1890</v>
      </c>
      <c r="M3" s="93">
        <f t="shared" si="3"/>
        <v>2305.7999999999997</v>
      </c>
      <c r="N3" s="91">
        <v>1</v>
      </c>
      <c r="O3" s="93">
        <v>1890</v>
      </c>
      <c r="P3" s="93">
        <f t="shared" si="4"/>
        <v>1890</v>
      </c>
      <c r="Q3" s="93">
        <f t="shared" si="5"/>
        <v>2305.7999999999997</v>
      </c>
      <c r="R3" s="96">
        <v>2015</v>
      </c>
      <c r="S3" s="99">
        <f t="shared" ref="S3:S9" si="6">I3-Q3</f>
        <v>0</v>
      </c>
      <c r="T3" s="100">
        <f t="shared" ref="T3:T9" si="7">1-Q3/M3</f>
        <v>0</v>
      </c>
      <c r="U3" s="102">
        <v>42152</v>
      </c>
      <c r="V3" s="102">
        <v>42163</v>
      </c>
      <c r="W3" s="102">
        <v>42164</v>
      </c>
      <c r="X3" s="102">
        <v>42171</v>
      </c>
      <c r="Y3" s="96" t="s">
        <v>307</v>
      </c>
      <c r="Z3" s="102">
        <v>42171</v>
      </c>
      <c r="AA3" s="96" t="s">
        <v>308</v>
      </c>
      <c r="AB3" s="96" t="s">
        <v>309</v>
      </c>
      <c r="AC3" s="102">
        <v>42221</v>
      </c>
      <c r="AD3" s="102">
        <v>42312</v>
      </c>
      <c r="AE3" s="96" t="s">
        <v>618</v>
      </c>
      <c r="AF3" s="96" t="s">
        <v>648</v>
      </c>
      <c r="AG3" s="96" t="s">
        <v>629</v>
      </c>
      <c r="AH3" s="93" t="s">
        <v>8</v>
      </c>
      <c r="AI3" s="91" t="s">
        <v>1541</v>
      </c>
    </row>
    <row r="4" spans="1:35" ht="24" x14ac:dyDescent="0.25">
      <c r="A4" s="96">
        <v>3</v>
      </c>
      <c r="B4" s="92" t="s">
        <v>8</v>
      </c>
      <c r="C4" s="97" t="s">
        <v>9</v>
      </c>
      <c r="D4" s="92" t="s">
        <v>84</v>
      </c>
      <c r="E4" s="92" t="s">
        <v>87</v>
      </c>
      <c r="F4" s="91">
        <v>2</v>
      </c>
      <c r="G4" s="93">
        <v>10000</v>
      </c>
      <c r="H4" s="93">
        <f t="shared" si="0"/>
        <v>20000</v>
      </c>
      <c r="I4" s="93">
        <f t="shared" si="1"/>
        <v>24400</v>
      </c>
      <c r="J4" s="91">
        <v>2</v>
      </c>
      <c r="K4" s="93">
        <v>6625</v>
      </c>
      <c r="L4" s="93">
        <f t="shared" si="2"/>
        <v>13250</v>
      </c>
      <c r="M4" s="93">
        <f t="shared" si="3"/>
        <v>16165</v>
      </c>
      <c r="N4" s="91">
        <v>2</v>
      </c>
      <c r="O4" s="93">
        <f>6450+125</f>
        <v>6575</v>
      </c>
      <c r="P4" s="93">
        <f t="shared" si="4"/>
        <v>13150</v>
      </c>
      <c r="Q4" s="93">
        <f t="shared" si="5"/>
        <v>16043</v>
      </c>
      <c r="R4" s="96">
        <v>2017</v>
      </c>
      <c r="S4" s="99">
        <f t="shared" si="6"/>
        <v>8357</v>
      </c>
      <c r="T4" s="100">
        <f t="shared" si="7"/>
        <v>7.547169811320753E-3</v>
      </c>
      <c r="U4" s="102">
        <v>42835</v>
      </c>
      <c r="V4" s="102">
        <v>42852</v>
      </c>
      <c r="W4" s="102">
        <v>42884</v>
      </c>
      <c r="X4" s="102">
        <v>42894</v>
      </c>
      <c r="Y4" s="96" t="s">
        <v>1579</v>
      </c>
      <c r="Z4" s="102">
        <v>42895</v>
      </c>
      <c r="AA4" s="96" t="s">
        <v>1580</v>
      </c>
      <c r="AB4" s="96" t="s">
        <v>1581</v>
      </c>
      <c r="AC4" s="102">
        <v>42942</v>
      </c>
      <c r="AD4" s="91" t="s">
        <v>1582</v>
      </c>
      <c r="AE4" s="96" t="s">
        <v>1604</v>
      </c>
      <c r="AF4" s="96" t="s">
        <v>1609</v>
      </c>
      <c r="AG4" s="96" t="s">
        <v>1608</v>
      </c>
      <c r="AH4" s="93" t="s">
        <v>8</v>
      </c>
      <c r="AI4" s="91" t="s">
        <v>1541</v>
      </c>
    </row>
    <row r="5" spans="1:35" ht="24" x14ac:dyDescent="0.25">
      <c r="A5" s="4">
        <v>4</v>
      </c>
      <c r="B5" s="5" t="s">
        <v>8</v>
      </c>
      <c r="C5" s="9" t="s">
        <v>9</v>
      </c>
      <c r="D5" s="5" t="s">
        <v>84</v>
      </c>
      <c r="E5" s="5" t="s">
        <v>88</v>
      </c>
      <c r="F5" s="6">
        <v>1</v>
      </c>
      <c r="G5" s="7">
        <v>10000</v>
      </c>
      <c r="H5" s="7">
        <f t="shared" si="0"/>
        <v>10000</v>
      </c>
      <c r="I5" s="7">
        <f t="shared" si="1"/>
        <v>12200</v>
      </c>
      <c r="J5" s="6">
        <v>0</v>
      </c>
      <c r="K5" s="7">
        <v>0</v>
      </c>
      <c r="L5" s="7">
        <f t="shared" si="2"/>
        <v>0</v>
      </c>
      <c r="M5" s="7">
        <f t="shared" si="3"/>
        <v>0</v>
      </c>
      <c r="N5" s="6">
        <v>0</v>
      </c>
      <c r="O5" s="7">
        <v>0</v>
      </c>
      <c r="P5" s="7">
        <f t="shared" si="4"/>
        <v>0</v>
      </c>
      <c r="Q5" s="7">
        <f t="shared" si="5"/>
        <v>0</v>
      </c>
      <c r="R5" s="4"/>
      <c r="S5" s="19"/>
      <c r="T5" s="48" t="e">
        <f t="shared" si="7"/>
        <v>#DIV/0!</v>
      </c>
      <c r="U5" s="4"/>
      <c r="V5" s="4"/>
      <c r="W5" s="4"/>
      <c r="X5" s="4"/>
      <c r="Y5" s="4"/>
      <c r="Z5" s="4"/>
      <c r="AA5" s="4"/>
      <c r="AB5" s="4"/>
      <c r="AC5" s="4"/>
      <c r="AD5" s="4"/>
      <c r="AE5" s="4"/>
      <c r="AF5" s="4"/>
      <c r="AG5" s="4"/>
      <c r="AH5" s="7" t="s">
        <v>8</v>
      </c>
      <c r="AI5" s="6" t="s">
        <v>1547</v>
      </c>
    </row>
    <row r="6" spans="1:35" ht="24" x14ac:dyDescent="0.25">
      <c r="A6" s="4">
        <v>5</v>
      </c>
      <c r="B6" s="5" t="s">
        <v>8</v>
      </c>
      <c r="C6" s="9" t="s">
        <v>9</v>
      </c>
      <c r="D6" s="5" t="s">
        <v>84</v>
      </c>
      <c r="E6" s="5" t="s">
        <v>89</v>
      </c>
      <c r="F6" s="6">
        <v>1</v>
      </c>
      <c r="G6" s="7">
        <v>9000</v>
      </c>
      <c r="H6" s="7">
        <f t="shared" si="0"/>
        <v>9000</v>
      </c>
      <c r="I6" s="7">
        <f t="shared" si="1"/>
        <v>10980</v>
      </c>
      <c r="J6" s="6">
        <v>0</v>
      </c>
      <c r="K6" s="7">
        <v>0</v>
      </c>
      <c r="L6" s="7">
        <f t="shared" si="2"/>
        <v>0</v>
      </c>
      <c r="M6" s="7">
        <f t="shared" si="3"/>
        <v>0</v>
      </c>
      <c r="N6" s="6">
        <v>0</v>
      </c>
      <c r="O6" s="7">
        <v>0</v>
      </c>
      <c r="P6" s="7">
        <f t="shared" si="4"/>
        <v>0</v>
      </c>
      <c r="Q6" s="7">
        <f t="shared" si="5"/>
        <v>0</v>
      </c>
      <c r="R6" s="4"/>
      <c r="S6" s="19"/>
      <c r="T6" s="48" t="e">
        <f t="shared" si="7"/>
        <v>#DIV/0!</v>
      </c>
      <c r="U6" s="4"/>
      <c r="V6" s="4"/>
      <c r="W6" s="4"/>
      <c r="X6" s="4"/>
      <c r="Y6" s="4"/>
      <c r="Z6" s="4"/>
      <c r="AA6" s="4"/>
      <c r="AB6" s="4"/>
      <c r="AC6" s="4"/>
      <c r="AD6" s="4"/>
      <c r="AE6" s="4"/>
      <c r="AF6" s="4"/>
      <c r="AG6" s="4"/>
      <c r="AH6" s="7" t="s">
        <v>8</v>
      </c>
      <c r="AI6" s="6" t="s">
        <v>1547</v>
      </c>
    </row>
    <row r="7" spans="1:35" ht="24" x14ac:dyDescent="0.25">
      <c r="A7" s="4">
        <v>6</v>
      </c>
      <c r="B7" s="5" t="s">
        <v>8</v>
      </c>
      <c r="C7" s="9" t="s">
        <v>9</v>
      </c>
      <c r="D7" s="5" t="s">
        <v>84</v>
      </c>
      <c r="E7" s="5" t="s">
        <v>26</v>
      </c>
      <c r="F7" s="6">
        <v>1</v>
      </c>
      <c r="G7" s="7">
        <v>34000</v>
      </c>
      <c r="H7" s="7">
        <f t="shared" si="0"/>
        <v>34000</v>
      </c>
      <c r="I7" s="7">
        <f t="shared" si="1"/>
        <v>41480</v>
      </c>
      <c r="J7" s="6">
        <v>0</v>
      </c>
      <c r="K7" s="7">
        <v>0</v>
      </c>
      <c r="L7" s="7">
        <f t="shared" si="2"/>
        <v>0</v>
      </c>
      <c r="M7" s="7">
        <f t="shared" si="3"/>
        <v>0</v>
      </c>
      <c r="N7" s="6">
        <v>0</v>
      </c>
      <c r="O7" s="7">
        <v>0</v>
      </c>
      <c r="P7" s="7">
        <f t="shared" si="4"/>
        <v>0</v>
      </c>
      <c r="Q7" s="7">
        <f t="shared" si="5"/>
        <v>0</v>
      </c>
      <c r="R7" s="4"/>
      <c r="S7" s="19"/>
      <c r="T7" s="48" t="e">
        <f t="shared" si="7"/>
        <v>#DIV/0!</v>
      </c>
      <c r="U7" s="4"/>
      <c r="V7" s="4"/>
      <c r="W7" s="4"/>
      <c r="X7" s="4"/>
      <c r="Y7" s="4"/>
      <c r="Z7" s="4"/>
      <c r="AA7" s="4"/>
      <c r="AB7" s="4"/>
      <c r="AC7" s="4"/>
      <c r="AD7" s="4"/>
      <c r="AE7" s="4"/>
      <c r="AF7" s="4"/>
      <c r="AG7" s="4"/>
      <c r="AH7" s="7" t="s">
        <v>8</v>
      </c>
      <c r="AI7" s="6" t="s">
        <v>1547</v>
      </c>
    </row>
    <row r="8" spans="1:35" x14ac:dyDescent="0.25">
      <c r="A8" s="96">
        <v>7</v>
      </c>
      <c r="B8" s="92" t="s">
        <v>8</v>
      </c>
      <c r="C8" s="97" t="s">
        <v>9</v>
      </c>
      <c r="D8" s="92" t="s">
        <v>84</v>
      </c>
      <c r="E8" s="92" t="s">
        <v>90</v>
      </c>
      <c r="F8" s="91">
        <v>2</v>
      </c>
      <c r="G8" s="93">
        <v>6549.4849999999997</v>
      </c>
      <c r="H8" s="93">
        <f t="shared" si="0"/>
        <v>13098.97</v>
      </c>
      <c r="I8" s="93">
        <f t="shared" si="1"/>
        <v>15980.743399999999</v>
      </c>
      <c r="J8" s="91">
        <v>2</v>
      </c>
      <c r="K8" s="93">
        <v>6549.4849999999997</v>
      </c>
      <c r="L8" s="93">
        <f t="shared" si="2"/>
        <v>13098.97</v>
      </c>
      <c r="M8" s="93">
        <f t="shared" si="3"/>
        <v>15980.743399999999</v>
      </c>
      <c r="N8" s="91">
        <v>2</v>
      </c>
      <c r="O8" s="93">
        <v>6549.4849999999997</v>
      </c>
      <c r="P8" s="93">
        <f t="shared" si="4"/>
        <v>13098.97</v>
      </c>
      <c r="Q8" s="93">
        <f t="shared" si="5"/>
        <v>15980.743399999999</v>
      </c>
      <c r="R8" s="96">
        <v>2015</v>
      </c>
      <c r="S8" s="99">
        <f t="shared" si="6"/>
        <v>0</v>
      </c>
      <c r="T8" s="100">
        <f t="shared" si="7"/>
        <v>0</v>
      </c>
      <c r="U8" s="101">
        <v>42152</v>
      </c>
      <c r="V8" s="101">
        <v>42163</v>
      </c>
      <c r="W8" s="101">
        <v>42164</v>
      </c>
      <c r="X8" s="101">
        <v>42171</v>
      </c>
      <c r="Y8" s="96" t="s">
        <v>619</v>
      </c>
      <c r="Z8" s="102">
        <v>42164</v>
      </c>
      <c r="AA8" s="96" t="s">
        <v>620</v>
      </c>
      <c r="AB8" s="96" t="s">
        <v>621</v>
      </c>
      <c r="AC8" s="102">
        <v>42235</v>
      </c>
      <c r="AD8" s="102">
        <v>42279</v>
      </c>
      <c r="AE8" s="96" t="s">
        <v>622</v>
      </c>
      <c r="AF8" s="96" t="s">
        <v>648</v>
      </c>
      <c r="AG8" s="91" t="s">
        <v>623</v>
      </c>
      <c r="AH8" s="93" t="s">
        <v>8</v>
      </c>
      <c r="AI8" s="91" t="s">
        <v>1541</v>
      </c>
    </row>
    <row r="9" spans="1:35" ht="24" x14ac:dyDescent="0.25">
      <c r="A9" s="96">
        <v>8</v>
      </c>
      <c r="B9" s="92" t="s">
        <v>8</v>
      </c>
      <c r="C9" s="97" t="s">
        <v>9</v>
      </c>
      <c r="D9" s="92" t="s">
        <v>84</v>
      </c>
      <c r="E9" s="92" t="s">
        <v>91</v>
      </c>
      <c r="F9" s="91">
        <v>1</v>
      </c>
      <c r="G9" s="93">
        <v>11000</v>
      </c>
      <c r="H9" s="93">
        <f t="shared" si="0"/>
        <v>11000</v>
      </c>
      <c r="I9" s="93">
        <f t="shared" si="1"/>
        <v>13420</v>
      </c>
      <c r="J9" s="91">
        <v>1</v>
      </c>
      <c r="K9" s="93">
        <v>11000</v>
      </c>
      <c r="L9" s="93">
        <f t="shared" si="2"/>
        <v>11000</v>
      </c>
      <c r="M9" s="93">
        <f t="shared" si="3"/>
        <v>13420</v>
      </c>
      <c r="N9" s="91">
        <v>1</v>
      </c>
      <c r="O9" s="93">
        <v>11000</v>
      </c>
      <c r="P9" s="93">
        <f t="shared" si="4"/>
        <v>11000</v>
      </c>
      <c r="Q9" s="93">
        <f t="shared" si="5"/>
        <v>13420</v>
      </c>
      <c r="R9" s="96">
        <v>2015</v>
      </c>
      <c r="S9" s="99">
        <f t="shared" si="6"/>
        <v>0</v>
      </c>
      <c r="T9" s="100">
        <f t="shared" si="7"/>
        <v>0</v>
      </c>
      <c r="U9" s="102">
        <v>42164</v>
      </c>
      <c r="V9" s="102">
        <v>42184</v>
      </c>
      <c r="W9" s="102">
        <v>42201</v>
      </c>
      <c r="X9" s="102">
        <v>42208</v>
      </c>
      <c r="Y9" s="96" t="s">
        <v>624</v>
      </c>
      <c r="Z9" s="102">
        <v>42188</v>
      </c>
      <c r="AA9" s="96" t="s">
        <v>625</v>
      </c>
      <c r="AB9" s="96" t="s">
        <v>626</v>
      </c>
      <c r="AC9" s="102">
        <v>42292</v>
      </c>
      <c r="AD9" s="102">
        <v>42321</v>
      </c>
      <c r="AE9" s="96" t="s">
        <v>627</v>
      </c>
      <c r="AF9" s="96" t="s">
        <v>648</v>
      </c>
      <c r="AG9" s="96" t="s">
        <v>628</v>
      </c>
      <c r="AH9" s="93" t="s">
        <v>8</v>
      </c>
      <c r="AI9" s="91" t="s">
        <v>1541</v>
      </c>
    </row>
    <row r="10" spans="1:35" s="36" customFormat="1" x14ac:dyDescent="0.25">
      <c r="A10" s="451" t="s">
        <v>59</v>
      </c>
      <c r="B10" s="452"/>
      <c r="C10" s="452"/>
      <c r="D10" s="452"/>
      <c r="E10" s="452"/>
      <c r="F10" s="452"/>
      <c r="G10" s="452"/>
      <c r="H10" s="453"/>
      <c r="I10" s="2">
        <f>SUM(I2:I9)</f>
        <v>122511.1434</v>
      </c>
      <c r="J10" s="177"/>
      <c r="K10" s="178"/>
      <c r="L10" s="178"/>
      <c r="M10" s="179"/>
      <c r="N10" s="177"/>
      <c r="O10" s="178"/>
      <c r="P10" s="178"/>
      <c r="Q10" s="2">
        <f>SUM(Q2:Q9)</f>
        <v>49494.143400000001</v>
      </c>
      <c r="R10" s="1"/>
      <c r="S10" s="35">
        <f>SUM(S2:S9)</f>
        <v>8357</v>
      </c>
      <c r="T10" s="48"/>
      <c r="U10" s="1"/>
      <c r="V10" s="1"/>
      <c r="W10" s="1"/>
      <c r="X10" s="1"/>
      <c r="Y10" s="1"/>
      <c r="Z10" s="1"/>
      <c r="AA10" s="1"/>
      <c r="AB10" s="1"/>
      <c r="AC10" s="1"/>
      <c r="AD10" s="1"/>
      <c r="AE10" s="1"/>
      <c r="AF10" s="1"/>
      <c r="AG10" s="1"/>
      <c r="AH10" s="1"/>
      <c r="AI10" s="114"/>
    </row>
    <row r="12" spans="1:35" ht="24" x14ac:dyDescent="0.25">
      <c r="A12" s="96">
        <v>9</v>
      </c>
      <c r="B12" s="92" t="s">
        <v>8</v>
      </c>
      <c r="C12" s="97" t="s">
        <v>9</v>
      </c>
      <c r="D12" s="92" t="s">
        <v>84</v>
      </c>
      <c r="E12" s="92" t="s">
        <v>778</v>
      </c>
      <c r="F12" s="91">
        <v>2</v>
      </c>
      <c r="G12" s="93">
        <v>10000</v>
      </c>
      <c r="H12" s="93">
        <f t="shared" ref="H12" si="8">F12*G12</f>
        <v>20000</v>
      </c>
      <c r="I12" s="93">
        <f t="shared" ref="I12" si="9">H12*1.22</f>
        <v>24400</v>
      </c>
      <c r="J12" s="91">
        <v>2</v>
      </c>
      <c r="K12" s="93">
        <v>6625</v>
      </c>
      <c r="L12" s="93">
        <f t="shared" ref="L12" si="10">J12*K12</f>
        <v>13250</v>
      </c>
      <c r="M12" s="93">
        <f t="shared" ref="M12" si="11">L12*1.22</f>
        <v>16165</v>
      </c>
      <c r="N12" s="91">
        <v>2</v>
      </c>
      <c r="O12" s="93">
        <f>6450+125</f>
        <v>6575</v>
      </c>
      <c r="P12" s="93">
        <f t="shared" ref="P12" si="12">N12*O12</f>
        <v>13150</v>
      </c>
      <c r="Q12" s="93">
        <f t="shared" ref="Q12" si="13">P12*1.22</f>
        <v>16043</v>
      </c>
      <c r="R12" s="96">
        <v>2017</v>
      </c>
      <c r="S12" s="99">
        <f t="shared" ref="S12" si="14">I12-Q12</f>
        <v>8357</v>
      </c>
      <c r="T12" s="100">
        <f t="shared" ref="T12" si="15">1-Q12/M12</f>
        <v>7.547169811320753E-3</v>
      </c>
      <c r="U12" s="102">
        <v>42835</v>
      </c>
      <c r="V12" s="102">
        <v>42852</v>
      </c>
      <c r="W12" s="102">
        <v>42884</v>
      </c>
      <c r="X12" s="102">
        <v>42894</v>
      </c>
      <c r="Y12" s="96" t="s">
        <v>1579</v>
      </c>
      <c r="Z12" s="102">
        <v>42895</v>
      </c>
      <c r="AA12" s="96" t="s">
        <v>1580</v>
      </c>
      <c r="AB12" s="96" t="s">
        <v>1581</v>
      </c>
      <c r="AC12" s="102">
        <v>42942</v>
      </c>
      <c r="AD12" s="91" t="s">
        <v>1582</v>
      </c>
      <c r="AE12" s="96" t="s">
        <v>1604</v>
      </c>
      <c r="AF12" s="96" t="s">
        <v>1609</v>
      </c>
      <c r="AG12" s="96" t="s">
        <v>1608</v>
      </c>
      <c r="AH12" s="93" t="s">
        <v>8</v>
      </c>
      <c r="AI12" s="91" t="s">
        <v>1541</v>
      </c>
    </row>
    <row r="13" spans="1:35" ht="11.65" x14ac:dyDescent="0.25">
      <c r="A13" s="4">
        <v>10</v>
      </c>
      <c r="B13" s="5" t="s">
        <v>8</v>
      </c>
      <c r="C13" s="9" t="s">
        <v>9</v>
      </c>
      <c r="D13" s="5" t="s">
        <v>84</v>
      </c>
      <c r="E13" s="5" t="s">
        <v>779</v>
      </c>
      <c r="F13" s="6">
        <v>2</v>
      </c>
      <c r="G13" s="7"/>
      <c r="H13" s="7"/>
      <c r="I13" s="7"/>
      <c r="J13" s="6"/>
      <c r="K13" s="7"/>
      <c r="L13" s="7"/>
      <c r="M13" s="7"/>
      <c r="N13" s="6"/>
      <c r="O13" s="7"/>
      <c r="P13" s="7"/>
      <c r="Q13" s="7"/>
      <c r="R13" s="4"/>
      <c r="S13" s="4"/>
      <c r="T13" s="48"/>
      <c r="U13" s="4"/>
      <c r="V13" s="4"/>
      <c r="W13" s="4"/>
      <c r="X13" s="4"/>
      <c r="Y13" s="4"/>
      <c r="Z13" s="4"/>
      <c r="AA13" s="4"/>
      <c r="AB13" s="4"/>
      <c r="AC13" s="4"/>
      <c r="AD13" s="4"/>
      <c r="AE13" s="4"/>
      <c r="AF13" s="4"/>
      <c r="AG13" s="4"/>
      <c r="AH13" s="4"/>
      <c r="AI13" s="15"/>
    </row>
  </sheetData>
  <autoFilter ref="A1:AI10"/>
  <mergeCells count="1">
    <mergeCell ref="A10:H10"/>
  </mergeCells>
  <phoneticPr fontId="0" type="noConversion"/>
  <printOptions horizontalCentered="1"/>
  <pageMargins left="0" right="0" top="0.39370078740157483" bottom="0.39370078740157483" header="0.23622047244094491" footer="0.23622047244094491"/>
  <pageSetup paperSize="9" scale="56" orientation="landscape" r:id="rId1"/>
  <headerFooter alignWithMargins="0">
    <oddHeader>&amp;CFONDI RETE REGIONALE SIT -  D.G.R. 1637/2015 - CUP D16G15018770002</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I68"/>
  <sheetViews>
    <sheetView topLeftCell="H1" zoomScale="80" zoomScaleNormal="80" workbookViewId="0">
      <pane ySplit="1" topLeftCell="A2" activePane="bottomLeft" state="frozen"/>
      <selection pane="bottomLeft" activeCell="Q61" sqref="A1:AI68"/>
    </sheetView>
  </sheetViews>
  <sheetFormatPr defaultColWidth="9.140625" defaultRowHeight="12" x14ac:dyDescent="0.25"/>
  <cols>
    <col min="1" max="1" width="4" style="13" bestFit="1" customWidth="1"/>
    <col min="2" max="2" width="7" style="13" customWidth="1"/>
    <col min="3" max="3" width="11.140625" style="12" bestFit="1" customWidth="1"/>
    <col min="4" max="4" width="22.5703125" style="12" customWidth="1"/>
    <col min="5" max="5" width="37.5703125" style="12" bestFit="1" customWidth="1"/>
    <col min="6" max="6" width="8.7109375" style="13" customWidth="1"/>
    <col min="7" max="7" width="17" style="14" customWidth="1"/>
    <col min="8" max="8" width="15.42578125" style="14" customWidth="1"/>
    <col min="9" max="9" width="18.85546875" style="14" customWidth="1"/>
    <col min="10" max="10" width="8.42578125" style="13" customWidth="1"/>
    <col min="11" max="12" width="19.28515625" style="13" customWidth="1"/>
    <col min="13" max="13" width="18.85546875" style="13" customWidth="1"/>
    <col min="14" max="14" width="8.7109375" style="13" customWidth="1"/>
    <col min="15" max="15" width="16.28515625" style="13" customWidth="1"/>
    <col min="16" max="16" width="13.28515625" style="13" customWidth="1"/>
    <col min="17" max="17" width="19.7109375" style="13" customWidth="1"/>
    <col min="18" max="18" width="17.42578125" style="13" customWidth="1"/>
    <col min="19" max="19" width="17" style="13" customWidth="1"/>
    <col min="20" max="20" width="15.28515625" style="55" customWidth="1"/>
    <col min="21" max="22" width="16.5703125" style="13" customWidth="1"/>
    <col min="23" max="23" width="27.5703125" style="13" customWidth="1"/>
    <col min="24" max="24" width="19.7109375" style="13" customWidth="1"/>
    <col min="25" max="25" width="31.85546875" style="13" customWidth="1"/>
    <col min="26" max="26" width="30.42578125" style="13" customWidth="1"/>
    <col min="27" max="27" width="22.140625" style="13" customWidth="1"/>
    <col min="28" max="28" width="28.85546875" style="13" customWidth="1"/>
    <col min="29" max="29" width="21.5703125" style="13" customWidth="1"/>
    <col min="30" max="30" width="21.140625" style="13" customWidth="1"/>
    <col min="31" max="31" width="36.42578125" style="13" customWidth="1"/>
    <col min="32" max="32" width="26.28515625" style="12" customWidth="1"/>
    <col min="33" max="33" width="21.7109375" style="13" customWidth="1"/>
    <col min="34" max="34" width="23.42578125" style="13" customWidth="1"/>
    <col min="35" max="35" width="24.5703125" style="13" customWidth="1"/>
    <col min="36" max="16384" width="9.140625" style="12"/>
  </cols>
  <sheetData>
    <row r="1" spans="1:35" s="3" customFormat="1" ht="24" x14ac:dyDescent="0.25">
      <c r="A1" s="63" t="s">
        <v>0</v>
      </c>
      <c r="B1" s="64" t="s">
        <v>1</v>
      </c>
      <c r="C1" s="64" t="s">
        <v>2</v>
      </c>
      <c r="D1" s="64" t="s">
        <v>3</v>
      </c>
      <c r="E1" s="64" t="s">
        <v>4</v>
      </c>
      <c r="F1" s="64" t="s">
        <v>5</v>
      </c>
      <c r="G1" s="18" t="s">
        <v>186</v>
      </c>
      <c r="H1" s="18" t="s">
        <v>92</v>
      </c>
      <c r="I1" s="18" t="s">
        <v>61</v>
      </c>
      <c r="J1" s="64" t="s">
        <v>5</v>
      </c>
      <c r="K1" s="18" t="s">
        <v>105</v>
      </c>
      <c r="L1" s="18" t="s">
        <v>92</v>
      </c>
      <c r="M1" s="18" t="s">
        <v>61</v>
      </c>
      <c r="N1" s="64" t="s">
        <v>5</v>
      </c>
      <c r="O1" s="18" t="s">
        <v>67</v>
      </c>
      <c r="P1" s="18" t="s">
        <v>6</v>
      </c>
      <c r="Q1" s="18" t="s">
        <v>7</v>
      </c>
      <c r="R1" s="18" t="s">
        <v>313</v>
      </c>
      <c r="S1" s="18" t="s">
        <v>93</v>
      </c>
      <c r="T1" s="47" t="s">
        <v>267</v>
      </c>
      <c r="U1" s="65" t="s">
        <v>106</v>
      </c>
      <c r="V1" s="65" t="s">
        <v>107</v>
      </c>
      <c r="W1" s="65" t="s">
        <v>108</v>
      </c>
      <c r="X1" s="65" t="s">
        <v>109</v>
      </c>
      <c r="Y1" s="63" t="s">
        <v>110</v>
      </c>
      <c r="Z1" s="63" t="s">
        <v>111</v>
      </c>
      <c r="AA1" s="63" t="s">
        <v>112</v>
      </c>
      <c r="AB1" s="63" t="s">
        <v>113</v>
      </c>
      <c r="AC1" s="64" t="s">
        <v>114</v>
      </c>
      <c r="AD1" s="63" t="s">
        <v>115</v>
      </c>
      <c r="AE1" s="63" t="s">
        <v>116</v>
      </c>
      <c r="AF1" s="63" t="s">
        <v>117</v>
      </c>
      <c r="AG1" s="64" t="s">
        <v>118</v>
      </c>
      <c r="AH1" s="64" t="s">
        <v>1544</v>
      </c>
      <c r="AI1" s="64" t="s">
        <v>1540</v>
      </c>
    </row>
    <row r="2" spans="1:35" ht="96" x14ac:dyDescent="0.25">
      <c r="A2" s="91">
        <v>1</v>
      </c>
      <c r="B2" s="91" t="s">
        <v>8</v>
      </c>
      <c r="C2" s="92" t="s">
        <v>9</v>
      </c>
      <c r="D2" s="92" t="s">
        <v>10</v>
      </c>
      <c r="E2" s="92" t="s">
        <v>187</v>
      </c>
      <c r="F2" s="91">
        <v>750</v>
      </c>
      <c r="G2" s="93">
        <v>130</v>
      </c>
      <c r="H2" s="93">
        <f t="shared" ref="H2" si="0">F2*G2</f>
        <v>97500</v>
      </c>
      <c r="I2" s="93">
        <f t="shared" ref="I2" si="1">H2*1.22</f>
        <v>118950</v>
      </c>
      <c r="J2" s="91">
        <v>750</v>
      </c>
      <c r="K2" s="93">
        <v>130</v>
      </c>
      <c r="L2" s="93">
        <f t="shared" ref="L2" si="2">J2*K2</f>
        <v>97500</v>
      </c>
      <c r="M2" s="93">
        <f t="shared" ref="M2" si="3">L2*1.22</f>
        <v>118950</v>
      </c>
      <c r="N2" s="91">
        <v>750</v>
      </c>
      <c r="O2" s="93">
        <f>P2/N2</f>
        <v>121.05333333333333</v>
      </c>
      <c r="P2" s="93">
        <v>90790</v>
      </c>
      <c r="Q2" s="93">
        <f t="shared" ref="Q2" si="4">P2*1.22</f>
        <v>110763.8</v>
      </c>
      <c r="R2" s="91">
        <v>2020</v>
      </c>
      <c r="S2" s="93">
        <f t="shared" ref="S2" si="5">I2-Q2</f>
        <v>8186.1999999999971</v>
      </c>
      <c r="T2" s="213">
        <f>1-Q2/M2</f>
        <v>6.8820512820512825E-2</v>
      </c>
      <c r="U2" s="101">
        <v>43306</v>
      </c>
      <c r="V2" s="101">
        <v>43370</v>
      </c>
      <c r="W2" s="101" t="s">
        <v>1279</v>
      </c>
      <c r="X2" s="101" t="s">
        <v>1280</v>
      </c>
      <c r="Y2" s="91" t="s">
        <v>1537</v>
      </c>
      <c r="Z2" s="91" t="s">
        <v>1355</v>
      </c>
      <c r="AA2" s="91">
        <v>7559994069</v>
      </c>
      <c r="AB2" s="253" t="s">
        <v>1281</v>
      </c>
      <c r="AC2" s="253" t="s">
        <v>1294</v>
      </c>
      <c r="AD2" s="91" t="s">
        <v>1509</v>
      </c>
      <c r="AE2" s="91" t="s">
        <v>1583</v>
      </c>
      <c r="AF2" s="92" t="s">
        <v>1590</v>
      </c>
      <c r="AG2" s="91" t="s">
        <v>1607</v>
      </c>
      <c r="AH2" s="91" t="s">
        <v>1546</v>
      </c>
      <c r="AI2" s="91" t="s">
        <v>1541</v>
      </c>
    </row>
    <row r="3" spans="1:35" ht="80.849999999999994" hidden="1" x14ac:dyDescent="0.25">
      <c r="A3" s="91">
        <v>2</v>
      </c>
      <c r="B3" s="91" t="s">
        <v>8</v>
      </c>
      <c r="C3" s="92" t="s">
        <v>9</v>
      </c>
      <c r="D3" s="92" t="s">
        <v>10</v>
      </c>
      <c r="E3" s="92" t="s">
        <v>188</v>
      </c>
      <c r="F3" s="91">
        <v>1</v>
      </c>
      <c r="G3" s="93">
        <v>90000</v>
      </c>
      <c r="H3" s="93">
        <f t="shared" ref="H3:H61" si="6">F3*G3</f>
        <v>90000</v>
      </c>
      <c r="I3" s="93">
        <f t="shared" ref="I3:I61" si="7">H3*1.22</f>
        <v>109800</v>
      </c>
      <c r="J3" s="91">
        <v>1</v>
      </c>
      <c r="K3" s="93">
        <v>90000</v>
      </c>
      <c r="L3" s="93">
        <f t="shared" ref="L3" si="8">J3*K3</f>
        <v>90000</v>
      </c>
      <c r="M3" s="93">
        <f t="shared" ref="M3" si="9">L3*1.22</f>
        <v>109800</v>
      </c>
      <c r="N3" s="91">
        <v>1</v>
      </c>
      <c r="O3" s="93">
        <f>90618.75+5586</f>
        <v>96204.75</v>
      </c>
      <c r="P3" s="93">
        <f t="shared" ref="P3:P4" si="10">N3*O3</f>
        <v>96204.75</v>
      </c>
      <c r="Q3" s="93">
        <f t="shared" ref="Q3" si="11">P3*1.22</f>
        <v>117369.795</v>
      </c>
      <c r="R3" s="91" t="s">
        <v>1487</v>
      </c>
      <c r="S3" s="93">
        <f t="shared" ref="S3:S61" si="12">I3-Q3</f>
        <v>-7569.7949999999983</v>
      </c>
      <c r="T3" s="213">
        <f t="shared" ref="T3:T61" si="13">1-Q3/M3</f>
        <v>-6.8941666666666679E-2</v>
      </c>
      <c r="U3" s="101">
        <v>43493</v>
      </c>
      <c r="V3" s="101">
        <v>43510</v>
      </c>
      <c r="W3" s="101">
        <v>43607</v>
      </c>
      <c r="X3" s="101">
        <v>43620</v>
      </c>
      <c r="Y3" s="91" t="s">
        <v>1536</v>
      </c>
      <c r="Z3" s="91" t="s">
        <v>1489</v>
      </c>
      <c r="AA3" s="91" t="s">
        <v>1514</v>
      </c>
      <c r="AB3" s="214" t="s">
        <v>1493</v>
      </c>
      <c r="AC3" s="214" t="s">
        <v>1519</v>
      </c>
      <c r="AD3" s="91" t="s">
        <v>1520</v>
      </c>
      <c r="AE3" s="91" t="s">
        <v>1490</v>
      </c>
      <c r="AF3" s="92" t="s">
        <v>1591</v>
      </c>
      <c r="AG3" s="91" t="s">
        <v>1491</v>
      </c>
      <c r="AH3" s="91" t="s">
        <v>8</v>
      </c>
      <c r="AI3" s="91" t="s">
        <v>1541</v>
      </c>
    </row>
    <row r="4" spans="1:35" ht="242.45" customHeight="1" x14ac:dyDescent="0.25">
      <c r="A4" s="6">
        <v>3</v>
      </c>
      <c r="B4" s="6" t="s">
        <v>8</v>
      </c>
      <c r="C4" s="5" t="s">
        <v>9</v>
      </c>
      <c r="D4" s="5" t="s">
        <v>10</v>
      </c>
      <c r="E4" s="5" t="s">
        <v>560</v>
      </c>
      <c r="F4" s="6">
        <v>1</v>
      </c>
      <c r="G4" s="7">
        <v>250000</v>
      </c>
      <c r="H4" s="7">
        <f t="shared" si="6"/>
        <v>250000</v>
      </c>
      <c r="I4" s="7">
        <f t="shared" si="7"/>
        <v>305000</v>
      </c>
      <c r="J4" s="6">
        <v>1</v>
      </c>
      <c r="K4" s="7">
        <v>283600</v>
      </c>
      <c r="L4" s="7">
        <f t="shared" ref="L4" si="14">J4*K4</f>
        <v>283600</v>
      </c>
      <c r="M4" s="7">
        <f t="shared" ref="M4" si="15">L4*1.22</f>
        <v>345992</v>
      </c>
      <c r="N4" s="6">
        <v>1</v>
      </c>
      <c r="O4" s="7">
        <v>182387.15</v>
      </c>
      <c r="P4" s="7">
        <f t="shared" si="10"/>
        <v>182387.15</v>
      </c>
      <c r="Q4" s="7">
        <v>218713.52</v>
      </c>
      <c r="R4" s="6">
        <v>2020</v>
      </c>
      <c r="S4" s="7">
        <f t="shared" si="12"/>
        <v>86286.48000000001</v>
      </c>
      <c r="T4" s="54">
        <f t="shared" si="13"/>
        <v>0.36786538417073233</v>
      </c>
      <c r="U4" s="20">
        <v>43306</v>
      </c>
      <c r="V4" s="20">
        <v>43370</v>
      </c>
      <c r="W4" s="6" t="s">
        <v>1279</v>
      </c>
      <c r="X4" s="6" t="s">
        <v>1280</v>
      </c>
      <c r="Y4" s="71" t="s">
        <v>1634</v>
      </c>
      <c r="Z4" s="71" t="s">
        <v>1637</v>
      </c>
      <c r="AA4" s="6" t="s">
        <v>1283</v>
      </c>
      <c r="AB4" s="6" t="s">
        <v>1538</v>
      </c>
      <c r="AC4" s="6" t="s">
        <v>1656</v>
      </c>
      <c r="AD4" s="6" t="s">
        <v>1657</v>
      </c>
      <c r="AE4" s="5" t="s">
        <v>1734</v>
      </c>
      <c r="AG4" s="6" t="s">
        <v>1778</v>
      </c>
      <c r="AH4" s="6" t="s">
        <v>1546</v>
      </c>
      <c r="AI4" s="6" t="s">
        <v>2025</v>
      </c>
    </row>
    <row r="5" spans="1:35" ht="48" x14ac:dyDescent="0.25">
      <c r="A5" s="91">
        <v>4</v>
      </c>
      <c r="B5" s="91" t="s">
        <v>8</v>
      </c>
      <c r="C5" s="92" t="s">
        <v>9</v>
      </c>
      <c r="D5" s="92" t="s">
        <v>10</v>
      </c>
      <c r="E5" s="92" t="s">
        <v>191</v>
      </c>
      <c r="F5" s="91">
        <v>20</v>
      </c>
      <c r="G5" s="93">
        <v>2500</v>
      </c>
      <c r="H5" s="93">
        <f t="shared" si="6"/>
        <v>50000</v>
      </c>
      <c r="I5" s="93">
        <f t="shared" si="7"/>
        <v>61000</v>
      </c>
      <c r="J5" s="91">
        <v>16</v>
      </c>
      <c r="K5" s="93">
        <v>3166.66</v>
      </c>
      <c r="L5" s="93">
        <f t="shared" ref="L5" si="16">J5*K5</f>
        <v>50666.559999999998</v>
      </c>
      <c r="M5" s="93">
        <f t="shared" ref="M5" si="17">L5*1.22</f>
        <v>61813.203199999996</v>
      </c>
      <c r="N5" s="91">
        <v>16</v>
      </c>
      <c r="O5" s="93">
        <f>44872.6/18</f>
        <v>2492.922222222222</v>
      </c>
      <c r="P5" s="93">
        <f t="shared" ref="P5:P10" si="18">N5*O5</f>
        <v>39886.755555555552</v>
      </c>
      <c r="Q5" s="93">
        <f t="shared" ref="Q5:Q10" si="19">P5*1.22</f>
        <v>48661.841777777772</v>
      </c>
      <c r="R5" s="91">
        <v>2019</v>
      </c>
      <c r="S5" s="93">
        <f t="shared" si="12"/>
        <v>12338.158222222228</v>
      </c>
      <c r="T5" s="213">
        <f t="shared" si="13"/>
        <v>0.21275974616086912</v>
      </c>
      <c r="U5" s="101">
        <v>43321</v>
      </c>
      <c r="V5" s="101" t="s">
        <v>995</v>
      </c>
      <c r="W5" s="101" t="s">
        <v>1279</v>
      </c>
      <c r="X5" s="101" t="s">
        <v>1280</v>
      </c>
      <c r="Y5" s="91" t="s">
        <v>1270</v>
      </c>
      <c r="Z5" s="91" t="s">
        <v>1197</v>
      </c>
      <c r="AA5" s="91" t="s">
        <v>996</v>
      </c>
      <c r="AB5" s="214" t="s">
        <v>1281</v>
      </c>
      <c r="AC5" s="214"/>
      <c r="AD5" s="91">
        <v>43945</v>
      </c>
      <c r="AE5" s="91" t="s">
        <v>1306</v>
      </c>
      <c r="AF5" s="92" t="s">
        <v>1377</v>
      </c>
      <c r="AG5" s="91" t="s">
        <v>1389</v>
      </c>
      <c r="AH5" s="91" t="s">
        <v>1546</v>
      </c>
      <c r="AI5" s="91" t="s">
        <v>1541</v>
      </c>
    </row>
    <row r="6" spans="1:35" ht="72" x14ac:dyDescent="0.25">
      <c r="A6" s="91" t="s">
        <v>1325</v>
      </c>
      <c r="B6" s="91" t="s">
        <v>8</v>
      </c>
      <c r="C6" s="92" t="s">
        <v>9</v>
      </c>
      <c r="D6" s="92" t="s">
        <v>10</v>
      </c>
      <c r="E6" s="92" t="s">
        <v>190</v>
      </c>
      <c r="F6" s="91">
        <v>288</v>
      </c>
      <c r="G6" s="93">
        <v>1832.24756</v>
      </c>
      <c r="H6" s="93">
        <f t="shared" si="6"/>
        <v>527687.29728000006</v>
      </c>
      <c r="I6" s="93">
        <f t="shared" si="7"/>
        <v>643778.50268160005</v>
      </c>
      <c r="J6" s="91">
        <v>265</v>
      </c>
      <c r="K6" s="93">
        <v>1600</v>
      </c>
      <c r="L6" s="93">
        <f t="shared" ref="L6:L10" si="20">J6*K6</f>
        <v>424000</v>
      </c>
      <c r="M6" s="93">
        <f t="shared" ref="M6:M10" si="21">L6*1.22</f>
        <v>517280</v>
      </c>
      <c r="N6" s="91">
        <v>265</v>
      </c>
      <c r="O6" s="93">
        <v>1464.75</v>
      </c>
      <c r="P6" s="93">
        <f t="shared" si="18"/>
        <v>388158.75</v>
      </c>
      <c r="Q6" s="93">
        <f t="shared" si="19"/>
        <v>473553.67499999999</v>
      </c>
      <c r="R6" s="91">
        <v>2020</v>
      </c>
      <c r="S6" s="93">
        <f t="shared" si="12"/>
        <v>170224.82768160006</v>
      </c>
      <c r="T6" s="213">
        <f t="shared" si="13"/>
        <v>8.4531250000000058E-2</v>
      </c>
      <c r="U6" s="101">
        <v>43306</v>
      </c>
      <c r="V6" s="101">
        <v>43370</v>
      </c>
      <c r="W6" s="101" t="s">
        <v>1279</v>
      </c>
      <c r="X6" s="101" t="s">
        <v>1280</v>
      </c>
      <c r="Y6" s="91" t="s">
        <v>1326</v>
      </c>
      <c r="Z6" s="91" t="s">
        <v>1327</v>
      </c>
      <c r="AA6" s="91" t="s">
        <v>1328</v>
      </c>
      <c r="AB6" s="214" t="s">
        <v>1281</v>
      </c>
      <c r="AC6" s="214" t="s">
        <v>1329</v>
      </c>
      <c r="AD6" s="91" t="s">
        <v>1330</v>
      </c>
      <c r="AE6" s="91" t="s">
        <v>1421</v>
      </c>
      <c r="AF6" s="92" t="s">
        <v>1377</v>
      </c>
      <c r="AG6" s="91" t="s">
        <v>1422</v>
      </c>
      <c r="AH6" s="91" t="s">
        <v>1546</v>
      </c>
      <c r="AI6" s="91" t="s">
        <v>1541</v>
      </c>
    </row>
    <row r="7" spans="1:35" ht="48" x14ac:dyDescent="0.25">
      <c r="A7" s="91" t="s">
        <v>1331</v>
      </c>
      <c r="B7" s="91" t="s">
        <v>8</v>
      </c>
      <c r="C7" s="92" t="s">
        <v>9</v>
      </c>
      <c r="D7" s="92" t="s">
        <v>10</v>
      </c>
      <c r="E7" s="92" t="s">
        <v>1332</v>
      </c>
      <c r="F7" s="91">
        <v>5</v>
      </c>
      <c r="G7" s="93">
        <v>1832.24756</v>
      </c>
      <c r="H7" s="93">
        <f t="shared" si="6"/>
        <v>9161.2378000000008</v>
      </c>
      <c r="I7" s="93">
        <f t="shared" si="7"/>
        <v>11176.710116</v>
      </c>
      <c r="J7" s="91">
        <v>5</v>
      </c>
      <c r="K7" s="93">
        <v>2000</v>
      </c>
      <c r="L7" s="93">
        <f t="shared" si="20"/>
        <v>10000</v>
      </c>
      <c r="M7" s="93">
        <f t="shared" si="21"/>
        <v>12200</v>
      </c>
      <c r="N7" s="91">
        <v>5</v>
      </c>
      <c r="O7" s="93">
        <v>1992.69</v>
      </c>
      <c r="P7" s="93">
        <f t="shared" si="18"/>
        <v>9963.4500000000007</v>
      </c>
      <c r="Q7" s="93">
        <f t="shared" si="19"/>
        <v>12155.409000000001</v>
      </c>
      <c r="R7" s="91">
        <v>2020</v>
      </c>
      <c r="S7" s="93">
        <f t="shared" si="12"/>
        <v>-978.69888400000127</v>
      </c>
      <c r="T7" s="213">
        <f t="shared" si="13"/>
        <v>3.6549999999998528E-3</v>
      </c>
      <c r="U7" s="101">
        <v>43306</v>
      </c>
      <c r="V7" s="101">
        <v>43370</v>
      </c>
      <c r="W7" s="101" t="s">
        <v>1279</v>
      </c>
      <c r="X7" s="101" t="s">
        <v>1280</v>
      </c>
      <c r="Y7" s="91" t="s">
        <v>1333</v>
      </c>
      <c r="Z7" s="91" t="s">
        <v>1334</v>
      </c>
      <c r="AA7" s="91" t="s">
        <v>1335</v>
      </c>
      <c r="AB7" s="253" t="s">
        <v>1281</v>
      </c>
      <c r="AC7" s="253" t="s">
        <v>1446</v>
      </c>
      <c r="AD7" s="91" t="s">
        <v>1446</v>
      </c>
      <c r="AE7" s="91" t="s">
        <v>1558</v>
      </c>
      <c r="AF7" s="92" t="s">
        <v>1590</v>
      </c>
      <c r="AG7" s="91" t="s">
        <v>1599</v>
      </c>
      <c r="AH7" s="91" t="s">
        <v>1546</v>
      </c>
      <c r="AI7" s="91" t="s">
        <v>1541</v>
      </c>
    </row>
    <row r="8" spans="1:35" ht="48" x14ac:dyDescent="0.25">
      <c r="A8" s="91" t="s">
        <v>1336</v>
      </c>
      <c r="B8" s="91" t="s">
        <v>8</v>
      </c>
      <c r="C8" s="92" t="s">
        <v>9</v>
      </c>
      <c r="D8" s="92" t="s">
        <v>10</v>
      </c>
      <c r="E8" s="92" t="s">
        <v>1260</v>
      </c>
      <c r="F8" s="91">
        <v>7</v>
      </c>
      <c r="G8" s="93">
        <v>1832.24756</v>
      </c>
      <c r="H8" s="93">
        <f t="shared" si="6"/>
        <v>12825.73292</v>
      </c>
      <c r="I8" s="93">
        <f t="shared" si="7"/>
        <v>15647.3941624</v>
      </c>
      <c r="J8" s="91">
        <v>7</v>
      </c>
      <c r="K8" s="93">
        <v>2000</v>
      </c>
      <c r="L8" s="93">
        <f t="shared" si="20"/>
        <v>14000</v>
      </c>
      <c r="M8" s="93">
        <f t="shared" si="21"/>
        <v>17080</v>
      </c>
      <c r="N8" s="91">
        <v>7</v>
      </c>
      <c r="O8" s="93">
        <v>1937</v>
      </c>
      <c r="P8" s="93">
        <f t="shared" si="18"/>
        <v>13559</v>
      </c>
      <c r="Q8" s="93">
        <f t="shared" si="19"/>
        <v>16541.98</v>
      </c>
      <c r="R8" s="91">
        <v>2020</v>
      </c>
      <c r="S8" s="93">
        <f t="shared" si="12"/>
        <v>-894.58583759999965</v>
      </c>
      <c r="T8" s="213">
        <f t="shared" si="13"/>
        <v>3.1499999999999972E-2</v>
      </c>
      <c r="U8" s="101">
        <v>43306</v>
      </c>
      <c r="V8" s="101">
        <v>43370</v>
      </c>
      <c r="W8" s="101" t="s">
        <v>1279</v>
      </c>
      <c r="X8" s="101" t="s">
        <v>1280</v>
      </c>
      <c r="Y8" s="91" t="s">
        <v>1337</v>
      </c>
      <c r="Z8" s="91" t="s">
        <v>1338</v>
      </c>
      <c r="AA8" s="91" t="s">
        <v>1339</v>
      </c>
      <c r="AB8" s="214" t="s">
        <v>1281</v>
      </c>
      <c r="AC8" s="214" t="s">
        <v>1340</v>
      </c>
      <c r="AD8" s="91" t="s">
        <v>1341</v>
      </c>
      <c r="AE8" s="91" t="s">
        <v>1358</v>
      </c>
      <c r="AF8" s="92" t="s">
        <v>1377</v>
      </c>
      <c r="AG8" s="91" t="s">
        <v>1390</v>
      </c>
      <c r="AH8" s="91" t="s">
        <v>1546</v>
      </c>
      <c r="AI8" s="91" t="s">
        <v>1541</v>
      </c>
    </row>
    <row r="9" spans="1:35" ht="48" x14ac:dyDescent="0.25">
      <c r="A9" s="91" t="s">
        <v>1342</v>
      </c>
      <c r="B9" s="91" t="s">
        <v>8</v>
      </c>
      <c r="C9" s="92" t="s">
        <v>9</v>
      </c>
      <c r="D9" s="92" t="s">
        <v>10</v>
      </c>
      <c r="E9" s="92" t="s">
        <v>1343</v>
      </c>
      <c r="F9" s="91">
        <v>1</v>
      </c>
      <c r="G9" s="93">
        <v>1832.24756</v>
      </c>
      <c r="H9" s="93">
        <f t="shared" si="6"/>
        <v>1832.24756</v>
      </c>
      <c r="I9" s="93">
        <f t="shared" si="7"/>
        <v>2235.3420231999999</v>
      </c>
      <c r="J9" s="91">
        <v>1</v>
      </c>
      <c r="K9" s="93">
        <v>25000</v>
      </c>
      <c r="L9" s="93">
        <f t="shared" si="20"/>
        <v>25000</v>
      </c>
      <c r="M9" s="93">
        <f t="shared" si="21"/>
        <v>30500</v>
      </c>
      <c r="N9" s="91">
        <v>1</v>
      </c>
      <c r="O9" s="93">
        <v>15794</v>
      </c>
      <c r="P9" s="93">
        <f t="shared" si="18"/>
        <v>15794</v>
      </c>
      <c r="Q9" s="93">
        <f t="shared" si="19"/>
        <v>19268.68</v>
      </c>
      <c r="R9" s="91">
        <v>2020</v>
      </c>
      <c r="S9" s="93">
        <f t="shared" si="12"/>
        <v>-17033.337976800001</v>
      </c>
      <c r="T9" s="213">
        <f t="shared" si="13"/>
        <v>0.36824000000000001</v>
      </c>
      <c r="U9" s="101">
        <v>43306</v>
      </c>
      <c r="V9" s="101">
        <v>43370</v>
      </c>
      <c r="W9" s="101" t="s">
        <v>1279</v>
      </c>
      <c r="X9" s="101" t="s">
        <v>1280</v>
      </c>
      <c r="Y9" s="91" t="s">
        <v>1344</v>
      </c>
      <c r="Z9" s="91" t="s">
        <v>1345</v>
      </c>
      <c r="AA9" s="91" t="s">
        <v>1346</v>
      </c>
      <c r="AB9" s="253" t="s">
        <v>1281</v>
      </c>
      <c r="AC9" s="253" t="s">
        <v>1347</v>
      </c>
      <c r="AD9" s="91" t="s">
        <v>1476</v>
      </c>
      <c r="AE9" s="91" t="s">
        <v>1477</v>
      </c>
      <c r="AF9" s="92" t="s">
        <v>1590</v>
      </c>
      <c r="AG9" s="91" t="s">
        <v>1525</v>
      </c>
      <c r="AH9" s="91" t="s">
        <v>1546</v>
      </c>
      <c r="AI9" s="91" t="s">
        <v>1541</v>
      </c>
    </row>
    <row r="10" spans="1:35" ht="48" x14ac:dyDescent="0.25">
      <c r="A10" s="91" t="s">
        <v>1348</v>
      </c>
      <c r="B10" s="91" t="s">
        <v>8</v>
      </c>
      <c r="C10" s="92" t="s">
        <v>9</v>
      </c>
      <c r="D10" s="92" t="s">
        <v>10</v>
      </c>
      <c r="E10" s="92" t="s">
        <v>1349</v>
      </c>
      <c r="F10" s="91">
        <v>6</v>
      </c>
      <c r="G10" s="93">
        <v>1832.24756</v>
      </c>
      <c r="H10" s="93">
        <f t="shared" si="6"/>
        <v>10993.485360000001</v>
      </c>
      <c r="I10" s="93">
        <f t="shared" si="7"/>
        <v>13412.052139200001</v>
      </c>
      <c r="J10" s="91">
        <v>6</v>
      </c>
      <c r="K10" s="93">
        <v>11000</v>
      </c>
      <c r="L10" s="93">
        <f t="shared" si="20"/>
        <v>66000</v>
      </c>
      <c r="M10" s="93">
        <f t="shared" si="21"/>
        <v>80520</v>
      </c>
      <c r="N10" s="91">
        <v>6</v>
      </c>
      <c r="O10" s="93">
        <v>10530</v>
      </c>
      <c r="P10" s="93">
        <f t="shared" si="18"/>
        <v>63180</v>
      </c>
      <c r="Q10" s="93">
        <f t="shared" si="19"/>
        <v>77079.599999999991</v>
      </c>
      <c r="R10" s="91">
        <v>2020</v>
      </c>
      <c r="S10" s="93">
        <f t="shared" si="12"/>
        <v>-63667.54786079999</v>
      </c>
      <c r="T10" s="213">
        <f t="shared" si="13"/>
        <v>4.2727272727272836E-2</v>
      </c>
      <c r="U10" s="101">
        <v>43306</v>
      </c>
      <c r="V10" s="101">
        <v>43370</v>
      </c>
      <c r="W10" s="101" t="s">
        <v>1279</v>
      </c>
      <c r="X10" s="101" t="s">
        <v>1280</v>
      </c>
      <c r="Y10" s="91" t="s">
        <v>1350</v>
      </c>
      <c r="Z10" s="91" t="s">
        <v>1351</v>
      </c>
      <c r="AA10" s="91" t="s">
        <v>1352</v>
      </c>
      <c r="AB10" s="214" t="s">
        <v>1281</v>
      </c>
      <c r="AC10" s="214" t="s">
        <v>1353</v>
      </c>
      <c r="AD10" s="91" t="s">
        <v>1354</v>
      </c>
      <c r="AE10" s="91" t="s">
        <v>1357</v>
      </c>
      <c r="AF10" s="92" t="s">
        <v>1377</v>
      </c>
      <c r="AG10" s="91" t="s">
        <v>1391</v>
      </c>
      <c r="AH10" s="91" t="s">
        <v>1546</v>
      </c>
      <c r="AI10" s="91" t="s">
        <v>1541</v>
      </c>
    </row>
    <row r="11" spans="1:35" s="42" customFormat="1" ht="23.1" hidden="1" x14ac:dyDescent="0.25">
      <c r="A11" s="91">
        <v>6</v>
      </c>
      <c r="B11" s="91" t="s">
        <v>8</v>
      </c>
      <c r="C11" s="92" t="s">
        <v>9</v>
      </c>
      <c r="D11" s="92" t="s">
        <v>12</v>
      </c>
      <c r="E11" s="92" t="s">
        <v>13</v>
      </c>
      <c r="F11" s="91">
        <v>2</v>
      </c>
      <c r="G11" s="93">
        <v>10000</v>
      </c>
      <c r="H11" s="93">
        <f t="shared" si="6"/>
        <v>20000</v>
      </c>
      <c r="I11" s="93">
        <f t="shared" si="7"/>
        <v>24400</v>
      </c>
      <c r="J11" s="91">
        <v>2</v>
      </c>
      <c r="K11" s="93">
        <v>9000</v>
      </c>
      <c r="L11" s="93">
        <f t="shared" ref="L11" si="22">J11*K11</f>
        <v>18000</v>
      </c>
      <c r="M11" s="93">
        <f t="shared" ref="M11" si="23">L11*1.22</f>
        <v>21960</v>
      </c>
      <c r="N11" s="91">
        <v>2</v>
      </c>
      <c r="O11" s="93">
        <v>10744</v>
      </c>
      <c r="P11" s="93">
        <f t="shared" ref="P11" si="24">N11*O11</f>
        <v>21488</v>
      </c>
      <c r="Q11" s="93">
        <f t="shared" ref="Q11" si="25">P11*1.22</f>
        <v>26215.360000000001</v>
      </c>
      <c r="R11" s="91">
        <v>2019</v>
      </c>
      <c r="S11" s="93">
        <f t="shared" si="12"/>
        <v>-1815.3600000000006</v>
      </c>
      <c r="T11" s="213">
        <f t="shared" si="13"/>
        <v>-0.19377777777777783</v>
      </c>
      <c r="U11" s="101">
        <v>43564</v>
      </c>
      <c r="V11" s="101">
        <v>43591</v>
      </c>
      <c r="W11" s="101" t="s">
        <v>1084</v>
      </c>
      <c r="X11" s="101" t="s">
        <v>1116</v>
      </c>
      <c r="Y11" s="91" t="s">
        <v>1114</v>
      </c>
      <c r="Z11" s="91" t="s">
        <v>1115</v>
      </c>
      <c r="AA11" s="91" t="s">
        <v>994</v>
      </c>
      <c r="AB11" s="214" t="s">
        <v>1084</v>
      </c>
      <c r="AC11" s="214" t="s">
        <v>1116</v>
      </c>
      <c r="AD11" s="91" t="s">
        <v>1117</v>
      </c>
      <c r="AE11" s="91" t="s">
        <v>1312</v>
      </c>
      <c r="AF11" s="92" t="s">
        <v>1377</v>
      </c>
      <c r="AG11" s="91" t="s">
        <v>1411</v>
      </c>
      <c r="AH11" s="91" t="s">
        <v>8</v>
      </c>
      <c r="AI11" s="91" t="s">
        <v>1541</v>
      </c>
    </row>
    <row r="12" spans="1:35" ht="36" x14ac:dyDescent="0.25">
      <c r="A12" s="91">
        <v>7</v>
      </c>
      <c r="B12" s="91" t="s">
        <v>8</v>
      </c>
      <c r="C12" s="92" t="s">
        <v>9</v>
      </c>
      <c r="D12" s="92" t="s">
        <v>12</v>
      </c>
      <c r="E12" s="92" t="s">
        <v>193</v>
      </c>
      <c r="F12" s="91">
        <v>1</v>
      </c>
      <c r="G12" s="93">
        <v>50000</v>
      </c>
      <c r="H12" s="93">
        <f t="shared" si="6"/>
        <v>50000</v>
      </c>
      <c r="I12" s="93">
        <f t="shared" si="7"/>
        <v>61000</v>
      </c>
      <c r="J12" s="91">
        <v>1</v>
      </c>
      <c r="K12" s="93">
        <v>48000</v>
      </c>
      <c r="L12" s="93">
        <f t="shared" ref="L12" si="26">J12*K12</f>
        <v>48000</v>
      </c>
      <c r="M12" s="93">
        <f t="shared" ref="M12" si="27">L12*1.22</f>
        <v>58560</v>
      </c>
      <c r="N12" s="91">
        <v>1</v>
      </c>
      <c r="O12" s="93">
        <v>46251.200000000004</v>
      </c>
      <c r="P12" s="93">
        <f t="shared" ref="P12" si="28">N12*O12</f>
        <v>46251.200000000004</v>
      </c>
      <c r="Q12" s="93">
        <f t="shared" ref="Q12" si="29">P12*1.22</f>
        <v>56426.464000000007</v>
      </c>
      <c r="R12" s="91">
        <v>2019</v>
      </c>
      <c r="S12" s="93">
        <f t="shared" si="12"/>
        <v>4573.5359999999928</v>
      </c>
      <c r="T12" s="213">
        <f t="shared" si="13"/>
        <v>3.6433333333333207E-2</v>
      </c>
      <c r="U12" s="101">
        <v>43248</v>
      </c>
      <c r="V12" s="101">
        <v>43283</v>
      </c>
      <c r="W12" s="101" t="s">
        <v>1001</v>
      </c>
      <c r="X12" s="101">
        <v>43713</v>
      </c>
      <c r="Y12" s="91" t="s">
        <v>1156</v>
      </c>
      <c r="Z12" s="91" t="s">
        <v>1158</v>
      </c>
      <c r="AA12" s="91" t="s">
        <v>1161</v>
      </c>
      <c r="AB12" s="214" t="s">
        <v>1001</v>
      </c>
      <c r="AC12" s="214">
        <v>43713</v>
      </c>
      <c r="AD12" s="91">
        <v>43718</v>
      </c>
      <c r="AE12" s="91" t="s">
        <v>1528</v>
      </c>
      <c r="AF12" s="92" t="s">
        <v>1377</v>
      </c>
      <c r="AG12" s="91" t="s">
        <v>1529</v>
      </c>
      <c r="AH12" s="91" t="s">
        <v>1546</v>
      </c>
      <c r="AI12" s="91" t="s">
        <v>1541</v>
      </c>
    </row>
    <row r="13" spans="1:35" s="42" customFormat="1" ht="24" x14ac:dyDescent="0.25">
      <c r="A13" s="91" t="s">
        <v>1145</v>
      </c>
      <c r="B13" s="91" t="s">
        <v>8</v>
      </c>
      <c r="C13" s="92" t="s">
        <v>9</v>
      </c>
      <c r="D13" s="92" t="s">
        <v>12</v>
      </c>
      <c r="E13" s="92" t="s">
        <v>14</v>
      </c>
      <c r="F13" s="91">
        <v>5</v>
      </c>
      <c r="G13" s="93">
        <v>30000</v>
      </c>
      <c r="H13" s="93">
        <f t="shared" si="6"/>
        <v>150000</v>
      </c>
      <c r="I13" s="93">
        <f t="shared" si="7"/>
        <v>183000</v>
      </c>
      <c r="J13" s="91">
        <v>5</v>
      </c>
      <c r="K13" s="93">
        <v>30000</v>
      </c>
      <c r="L13" s="93">
        <f t="shared" ref="L13:L15" si="30">J13*K13</f>
        <v>150000</v>
      </c>
      <c r="M13" s="93">
        <f t="shared" ref="M13:M15" si="31">L13*1.22</f>
        <v>183000</v>
      </c>
      <c r="N13" s="91">
        <v>5</v>
      </c>
      <c r="O13" s="93">
        <f>24438.4+5002</f>
        <v>29440.400000000001</v>
      </c>
      <c r="P13" s="93">
        <f>O13*N13</f>
        <v>147202</v>
      </c>
      <c r="Q13" s="93">
        <f>P13*1.22</f>
        <v>179586.44</v>
      </c>
      <c r="R13" s="91">
        <v>2019</v>
      </c>
      <c r="S13" s="93">
        <f t="shared" si="12"/>
        <v>3413.5599999999977</v>
      </c>
      <c r="T13" s="213">
        <f t="shared" si="13"/>
        <v>1.86533333333333E-2</v>
      </c>
      <c r="U13" s="101">
        <v>43266</v>
      </c>
      <c r="V13" s="101">
        <v>43300</v>
      </c>
      <c r="W13" s="101" t="s">
        <v>1149</v>
      </c>
      <c r="X13" s="101" t="s">
        <v>1150</v>
      </c>
      <c r="Y13" s="91" t="s">
        <v>1147</v>
      </c>
      <c r="Z13" s="91" t="s">
        <v>1148</v>
      </c>
      <c r="AA13" s="91" t="s">
        <v>1151</v>
      </c>
      <c r="AB13" s="214" t="s">
        <v>1149</v>
      </c>
      <c r="AC13" s="214" t="s">
        <v>1150</v>
      </c>
      <c r="AD13" s="91">
        <v>43850</v>
      </c>
      <c r="AE13" s="91" t="s">
        <v>1155</v>
      </c>
      <c r="AF13" s="92" t="s">
        <v>1377</v>
      </c>
      <c r="AG13" s="91" t="s">
        <v>1392</v>
      </c>
      <c r="AH13" s="91" t="s">
        <v>1546</v>
      </c>
      <c r="AI13" s="91" t="s">
        <v>1541</v>
      </c>
    </row>
    <row r="14" spans="1:35" s="42" customFormat="1" ht="24" x14ac:dyDescent="0.25">
      <c r="A14" s="91" t="s">
        <v>1146</v>
      </c>
      <c r="B14" s="91" t="s">
        <v>8</v>
      </c>
      <c r="C14" s="92" t="s">
        <v>9</v>
      </c>
      <c r="D14" s="92" t="s">
        <v>12</v>
      </c>
      <c r="E14" s="92" t="s">
        <v>14</v>
      </c>
      <c r="F14" s="91">
        <v>5</v>
      </c>
      <c r="G14" s="93">
        <v>30000</v>
      </c>
      <c r="H14" s="93">
        <f t="shared" si="6"/>
        <v>150000</v>
      </c>
      <c r="I14" s="93">
        <f t="shared" si="7"/>
        <v>183000</v>
      </c>
      <c r="J14" s="91">
        <v>5</v>
      </c>
      <c r="K14" s="93">
        <v>30000</v>
      </c>
      <c r="L14" s="93">
        <f t="shared" si="30"/>
        <v>150000</v>
      </c>
      <c r="M14" s="93">
        <f t="shared" si="31"/>
        <v>183000</v>
      </c>
      <c r="N14" s="91">
        <v>5</v>
      </c>
      <c r="O14" s="93">
        <f>24340+4360</f>
        <v>28700</v>
      </c>
      <c r="P14" s="93">
        <f>O14*N14</f>
        <v>143500</v>
      </c>
      <c r="Q14" s="93">
        <f>P14*1.22</f>
        <v>175070</v>
      </c>
      <c r="R14" s="91">
        <v>2019</v>
      </c>
      <c r="S14" s="93">
        <f t="shared" si="12"/>
        <v>7930</v>
      </c>
      <c r="T14" s="213">
        <f t="shared" si="13"/>
        <v>4.3333333333333335E-2</v>
      </c>
      <c r="U14" s="101">
        <v>43266</v>
      </c>
      <c r="V14" s="101">
        <v>43300</v>
      </c>
      <c r="W14" s="101" t="s">
        <v>1007</v>
      </c>
      <c r="X14" s="101" t="s">
        <v>1199</v>
      </c>
      <c r="Y14" s="91" t="s">
        <v>1153</v>
      </c>
      <c r="Z14" s="91" t="s">
        <v>1154</v>
      </c>
      <c r="AA14" s="91" t="s">
        <v>1152</v>
      </c>
      <c r="AB14" s="214" t="s">
        <v>1007</v>
      </c>
      <c r="AC14" s="214" t="s">
        <v>1199</v>
      </c>
      <c r="AD14" s="91">
        <v>43963</v>
      </c>
      <c r="AE14" s="91" t="s">
        <v>1248</v>
      </c>
      <c r="AF14" s="92" t="s">
        <v>1377</v>
      </c>
      <c r="AG14" s="91" t="s">
        <v>1526</v>
      </c>
      <c r="AH14" s="91" t="s">
        <v>1546</v>
      </c>
      <c r="AI14" s="91" t="s">
        <v>1541</v>
      </c>
    </row>
    <row r="15" spans="1:35" ht="11.65" hidden="1" x14ac:dyDescent="0.25">
      <c r="A15" s="91">
        <v>9</v>
      </c>
      <c r="B15" s="91" t="s">
        <v>8</v>
      </c>
      <c r="C15" s="92" t="s">
        <v>9</v>
      </c>
      <c r="D15" s="92" t="s">
        <v>12</v>
      </c>
      <c r="E15" s="92" t="s">
        <v>641</v>
      </c>
      <c r="F15" s="91">
        <v>1</v>
      </c>
      <c r="G15" s="93">
        <v>70000</v>
      </c>
      <c r="H15" s="93">
        <f t="shared" si="6"/>
        <v>70000</v>
      </c>
      <c r="I15" s="93">
        <f t="shared" si="7"/>
        <v>85400</v>
      </c>
      <c r="J15" s="91">
        <v>1</v>
      </c>
      <c r="K15" s="93">
        <v>62000</v>
      </c>
      <c r="L15" s="93">
        <f t="shared" si="30"/>
        <v>62000</v>
      </c>
      <c r="M15" s="93">
        <f t="shared" si="31"/>
        <v>75640</v>
      </c>
      <c r="N15" s="91">
        <v>1</v>
      </c>
      <c r="O15" s="93">
        <v>51886.8</v>
      </c>
      <c r="P15" s="93">
        <f t="shared" ref="P15:P16" si="32">O15*N15</f>
        <v>51886.8</v>
      </c>
      <c r="Q15" s="93">
        <f t="shared" ref="Q15:Q17" si="33">P15*1.22</f>
        <v>63301.896000000001</v>
      </c>
      <c r="R15" s="91">
        <v>2019</v>
      </c>
      <c r="S15" s="93">
        <f t="shared" si="12"/>
        <v>22098.103999999999</v>
      </c>
      <c r="T15" s="213">
        <f t="shared" si="13"/>
        <v>0.16311612903225803</v>
      </c>
      <c r="U15" s="101">
        <v>43259</v>
      </c>
      <c r="V15" s="101">
        <v>43276</v>
      </c>
      <c r="W15" s="101" t="s">
        <v>1361</v>
      </c>
      <c r="X15" s="101">
        <v>43437</v>
      </c>
      <c r="Y15" s="91" t="s">
        <v>1136</v>
      </c>
      <c r="Z15" s="91" t="s">
        <v>1137</v>
      </c>
      <c r="AA15" s="91">
        <v>7523669810</v>
      </c>
      <c r="AB15" s="214" t="s">
        <v>1361</v>
      </c>
      <c r="AC15" s="214">
        <v>43437</v>
      </c>
      <c r="AD15" s="91">
        <v>43438</v>
      </c>
      <c r="AE15" s="91" t="s">
        <v>1194</v>
      </c>
      <c r="AF15" s="92" t="s">
        <v>1377</v>
      </c>
      <c r="AG15" s="91" t="s">
        <v>1393</v>
      </c>
      <c r="AH15" s="91" t="s">
        <v>8</v>
      </c>
      <c r="AI15" s="91" t="s">
        <v>1541</v>
      </c>
    </row>
    <row r="16" spans="1:35" ht="11.65" hidden="1" x14ac:dyDescent="0.25">
      <c r="A16" s="91">
        <v>10</v>
      </c>
      <c r="B16" s="91" t="s">
        <v>8</v>
      </c>
      <c r="C16" s="92" t="s">
        <v>9</v>
      </c>
      <c r="D16" s="92" t="s">
        <v>196</v>
      </c>
      <c r="E16" s="92" t="s">
        <v>497</v>
      </c>
      <c r="F16" s="91">
        <v>1</v>
      </c>
      <c r="G16" s="93">
        <v>34000</v>
      </c>
      <c r="H16" s="93">
        <f t="shared" si="6"/>
        <v>34000</v>
      </c>
      <c r="I16" s="93">
        <f t="shared" si="7"/>
        <v>41480</v>
      </c>
      <c r="J16" s="91">
        <v>1</v>
      </c>
      <c r="K16" s="93">
        <v>34000</v>
      </c>
      <c r="L16" s="93">
        <f t="shared" ref="L16:L17" si="34">J16*K16</f>
        <v>34000</v>
      </c>
      <c r="M16" s="93">
        <f t="shared" ref="M16:M17" si="35">L16*1.22</f>
        <v>41480</v>
      </c>
      <c r="N16" s="91">
        <v>1</v>
      </c>
      <c r="O16" s="93">
        <v>32500</v>
      </c>
      <c r="P16" s="93">
        <f t="shared" si="32"/>
        <v>32500</v>
      </c>
      <c r="Q16" s="93">
        <f t="shared" si="33"/>
        <v>39650</v>
      </c>
      <c r="R16" s="91">
        <v>2019</v>
      </c>
      <c r="S16" s="93">
        <f t="shared" si="12"/>
        <v>1830</v>
      </c>
      <c r="T16" s="213">
        <f t="shared" si="13"/>
        <v>4.4117647058823484E-2</v>
      </c>
      <c r="U16" s="101">
        <v>43430</v>
      </c>
      <c r="V16" s="101">
        <v>43440</v>
      </c>
      <c r="W16" s="101" t="s">
        <v>1370</v>
      </c>
      <c r="X16" s="101">
        <v>43661</v>
      </c>
      <c r="Y16" s="91" t="s">
        <v>1092</v>
      </c>
      <c r="Z16" s="91" t="s">
        <v>1093</v>
      </c>
      <c r="AA16" s="91" t="s">
        <v>1091</v>
      </c>
      <c r="AB16" s="214" t="s">
        <v>1370</v>
      </c>
      <c r="AC16" s="214">
        <v>43661</v>
      </c>
      <c r="AD16" s="91">
        <v>43670</v>
      </c>
      <c r="AE16" s="91" t="s">
        <v>1249</v>
      </c>
      <c r="AF16" s="92" t="s">
        <v>1377</v>
      </c>
      <c r="AG16" s="91" t="s">
        <v>1394</v>
      </c>
      <c r="AH16" s="91" t="s">
        <v>8</v>
      </c>
      <c r="AI16" s="91" t="s">
        <v>1541</v>
      </c>
    </row>
    <row r="17" spans="1:35" ht="36" x14ac:dyDescent="0.25">
      <c r="A17" s="91">
        <v>11</v>
      </c>
      <c r="B17" s="91" t="s">
        <v>8</v>
      </c>
      <c r="C17" s="92" t="s">
        <v>9</v>
      </c>
      <c r="D17" s="92" t="s">
        <v>197</v>
      </c>
      <c r="E17" s="92" t="s">
        <v>193</v>
      </c>
      <c r="F17" s="91">
        <v>2</v>
      </c>
      <c r="G17" s="93">
        <v>250000</v>
      </c>
      <c r="H17" s="93">
        <f t="shared" si="6"/>
        <v>500000</v>
      </c>
      <c r="I17" s="93">
        <f t="shared" si="7"/>
        <v>610000</v>
      </c>
      <c r="J17" s="91">
        <v>2</v>
      </c>
      <c r="K17" s="93">
        <v>250000</v>
      </c>
      <c r="L17" s="93">
        <f t="shared" si="34"/>
        <v>500000</v>
      </c>
      <c r="M17" s="93">
        <f t="shared" si="35"/>
        <v>610000</v>
      </c>
      <c r="N17" s="91">
        <v>2</v>
      </c>
      <c r="O17" s="93">
        <v>173485</v>
      </c>
      <c r="P17" s="93">
        <f t="shared" ref="P17" si="36">N17*O17</f>
        <v>346970</v>
      </c>
      <c r="Q17" s="93">
        <f t="shared" si="33"/>
        <v>423303.39999999997</v>
      </c>
      <c r="R17" s="91">
        <v>2019</v>
      </c>
      <c r="S17" s="93">
        <f t="shared" si="12"/>
        <v>186696.60000000003</v>
      </c>
      <c r="T17" s="213">
        <f t="shared" si="13"/>
        <v>0.30606000000000011</v>
      </c>
      <c r="U17" s="101">
        <v>43248</v>
      </c>
      <c r="V17" s="101">
        <v>43283</v>
      </c>
      <c r="W17" s="101" t="s">
        <v>1001</v>
      </c>
      <c r="X17" s="101">
        <v>43748</v>
      </c>
      <c r="Y17" s="91" t="s">
        <v>1157</v>
      </c>
      <c r="Z17" s="91" t="s">
        <v>1164</v>
      </c>
      <c r="AA17" s="91" t="s">
        <v>1165</v>
      </c>
      <c r="AB17" s="214" t="s">
        <v>1001</v>
      </c>
      <c r="AC17" s="214">
        <v>43748</v>
      </c>
      <c r="AD17" s="91">
        <v>43838</v>
      </c>
      <c r="AE17" s="91" t="s">
        <v>1166</v>
      </c>
      <c r="AF17" s="92" t="s">
        <v>1377</v>
      </c>
      <c r="AG17" s="91" t="s">
        <v>1527</v>
      </c>
      <c r="AH17" s="91" t="s">
        <v>1546</v>
      </c>
      <c r="AI17" s="91" t="s">
        <v>1541</v>
      </c>
    </row>
    <row r="18" spans="1:35" ht="11.65" hidden="1" x14ac:dyDescent="0.25">
      <c r="A18" s="6">
        <v>12</v>
      </c>
      <c r="B18" s="6" t="s">
        <v>8</v>
      </c>
      <c r="C18" s="5" t="s">
        <v>9</v>
      </c>
      <c r="D18" s="5" t="s">
        <v>199</v>
      </c>
      <c r="E18" s="5" t="s">
        <v>200</v>
      </c>
      <c r="F18" s="6">
        <v>1</v>
      </c>
      <c r="G18" s="7">
        <v>60000</v>
      </c>
      <c r="H18" s="7">
        <f t="shared" si="6"/>
        <v>60000</v>
      </c>
      <c r="I18" s="7">
        <f t="shared" si="7"/>
        <v>73200</v>
      </c>
      <c r="J18" s="6"/>
      <c r="K18" s="6"/>
      <c r="L18" s="41"/>
      <c r="M18" s="6"/>
      <c r="N18" s="6"/>
      <c r="O18" s="6"/>
      <c r="P18" s="7"/>
      <c r="Q18" s="7">
        <v>0</v>
      </c>
      <c r="R18" s="6"/>
      <c r="S18" s="7">
        <f t="shared" ref="S18" si="37">I18-Q18</f>
        <v>73200</v>
      </c>
      <c r="T18" s="54" t="e">
        <f t="shared" ref="T18" si="38">1-Q18/M18</f>
        <v>#DIV/0!</v>
      </c>
      <c r="U18" s="6"/>
      <c r="V18" s="6"/>
      <c r="W18" s="6"/>
      <c r="X18" s="6"/>
      <c r="Y18" s="6"/>
      <c r="Z18" s="6"/>
      <c r="AA18" s="6"/>
      <c r="AB18" s="6"/>
      <c r="AC18" s="6"/>
      <c r="AD18" s="6"/>
      <c r="AE18" s="6"/>
      <c r="AF18" s="5"/>
      <c r="AG18" s="5"/>
      <c r="AH18" s="6" t="s">
        <v>8</v>
      </c>
      <c r="AI18" s="6" t="s">
        <v>1552</v>
      </c>
    </row>
    <row r="19" spans="1:35" ht="11.65" hidden="1" x14ac:dyDescent="0.25">
      <c r="A19" s="91">
        <v>13</v>
      </c>
      <c r="B19" s="91" t="s">
        <v>8</v>
      </c>
      <c r="C19" s="92" t="s">
        <v>9</v>
      </c>
      <c r="D19" s="92" t="s">
        <v>201</v>
      </c>
      <c r="E19" s="92" t="s">
        <v>202</v>
      </c>
      <c r="F19" s="91">
        <v>1</v>
      </c>
      <c r="G19" s="93">
        <v>13000</v>
      </c>
      <c r="H19" s="93">
        <f t="shared" si="6"/>
        <v>13000</v>
      </c>
      <c r="I19" s="93">
        <f t="shared" si="7"/>
        <v>15860</v>
      </c>
      <c r="J19" s="91">
        <v>2</v>
      </c>
      <c r="K19" s="93">
        <v>3000</v>
      </c>
      <c r="L19" s="93">
        <f t="shared" ref="L19" si="39">J19*K19</f>
        <v>6000</v>
      </c>
      <c r="M19" s="93">
        <f t="shared" ref="M19" si="40">L19*1.22</f>
        <v>7320</v>
      </c>
      <c r="N19" s="91">
        <v>2</v>
      </c>
      <c r="O19" s="93">
        <v>2995</v>
      </c>
      <c r="P19" s="93">
        <f t="shared" ref="P19" si="41">N19*O19</f>
        <v>5990</v>
      </c>
      <c r="Q19" s="93">
        <f t="shared" ref="Q19" si="42">P19*1.22</f>
        <v>7307.8</v>
      </c>
      <c r="R19" s="91">
        <v>2019</v>
      </c>
      <c r="S19" s="93">
        <f t="shared" ref="S19" si="43">I19-Q19</f>
        <v>8552.2000000000007</v>
      </c>
      <c r="T19" s="213">
        <f t="shared" ref="T19" si="44">1-Q19/M19</f>
        <v>1.6666666666665941E-3</v>
      </c>
      <c r="U19" s="101">
        <v>43746</v>
      </c>
      <c r="V19" s="101">
        <v>43760</v>
      </c>
      <c r="W19" s="101" t="s">
        <v>1192</v>
      </c>
      <c r="X19" s="101">
        <v>43971</v>
      </c>
      <c r="Y19" s="91" t="s">
        <v>1193</v>
      </c>
      <c r="Z19" s="91" t="s">
        <v>1250</v>
      </c>
      <c r="AA19" s="91" t="s">
        <v>1060</v>
      </c>
      <c r="AB19" s="214" t="s">
        <v>1192</v>
      </c>
      <c r="AC19" s="214">
        <v>43971</v>
      </c>
      <c r="AD19" s="91">
        <v>43976</v>
      </c>
      <c r="AE19" s="91" t="s">
        <v>1263</v>
      </c>
      <c r="AF19" s="92" t="s">
        <v>1377</v>
      </c>
      <c r="AG19" s="91" t="s">
        <v>1395</v>
      </c>
      <c r="AH19" s="91" t="s">
        <v>8</v>
      </c>
      <c r="AI19" s="91" t="s">
        <v>1541</v>
      </c>
    </row>
    <row r="20" spans="1:35" ht="24" x14ac:dyDescent="0.25">
      <c r="A20" s="91">
        <v>14</v>
      </c>
      <c r="B20" s="91" t="s">
        <v>8</v>
      </c>
      <c r="C20" s="92" t="s">
        <v>9</v>
      </c>
      <c r="D20" s="92" t="s">
        <v>203</v>
      </c>
      <c r="E20" s="92" t="s">
        <v>204</v>
      </c>
      <c r="F20" s="91">
        <v>1</v>
      </c>
      <c r="G20" s="93">
        <v>500000</v>
      </c>
      <c r="H20" s="93">
        <f t="shared" si="6"/>
        <v>500000</v>
      </c>
      <c r="I20" s="93">
        <f t="shared" si="7"/>
        <v>610000</v>
      </c>
      <c r="J20" s="91">
        <v>1</v>
      </c>
      <c r="K20" s="93">
        <v>500000</v>
      </c>
      <c r="L20" s="93">
        <f t="shared" ref="L20" si="45">J20*K20</f>
        <v>500000</v>
      </c>
      <c r="M20" s="93">
        <f t="shared" ref="M20" si="46">L20*1.22</f>
        <v>610000</v>
      </c>
      <c r="N20" s="91">
        <v>1</v>
      </c>
      <c r="O20" s="93">
        <v>499300</v>
      </c>
      <c r="P20" s="93">
        <f t="shared" ref="P20" si="47">N20*O20</f>
        <v>499300</v>
      </c>
      <c r="Q20" s="93">
        <f t="shared" ref="Q20" si="48">P20*1.22</f>
        <v>609146</v>
      </c>
      <c r="R20" s="91">
        <v>2019</v>
      </c>
      <c r="S20" s="93">
        <f t="shared" si="12"/>
        <v>854</v>
      </c>
      <c r="T20" s="213">
        <f t="shared" si="13"/>
        <v>1.3999999999999568E-3</v>
      </c>
      <c r="U20" s="101">
        <v>43404</v>
      </c>
      <c r="V20" s="101">
        <v>43440</v>
      </c>
      <c r="W20" s="101" t="s">
        <v>1072</v>
      </c>
      <c r="X20" s="101" t="s">
        <v>1302</v>
      </c>
      <c r="Y20" s="91" t="s">
        <v>1300</v>
      </c>
      <c r="Z20" s="91" t="s">
        <v>1301</v>
      </c>
      <c r="AA20" s="91" t="s">
        <v>1000</v>
      </c>
      <c r="AB20" s="214" t="s">
        <v>1072</v>
      </c>
      <c r="AC20" s="214" t="s">
        <v>1302</v>
      </c>
      <c r="AD20" s="91">
        <v>44176</v>
      </c>
      <c r="AE20" s="91" t="s">
        <v>1303</v>
      </c>
      <c r="AF20" s="92" t="s">
        <v>1377</v>
      </c>
      <c r="AG20" s="91" t="s">
        <v>1396</v>
      </c>
      <c r="AH20" s="91" t="s">
        <v>1546</v>
      </c>
      <c r="AI20" s="91" t="s">
        <v>1541</v>
      </c>
    </row>
    <row r="21" spans="1:35" ht="11.65" hidden="1" x14ac:dyDescent="0.25">
      <c r="A21" s="91">
        <v>15</v>
      </c>
      <c r="B21" s="91" t="s">
        <v>8</v>
      </c>
      <c r="C21" s="92" t="s">
        <v>9</v>
      </c>
      <c r="D21" s="92" t="s">
        <v>205</v>
      </c>
      <c r="E21" s="92" t="s">
        <v>522</v>
      </c>
      <c r="F21" s="91">
        <v>1</v>
      </c>
      <c r="G21" s="93">
        <v>15000</v>
      </c>
      <c r="H21" s="93">
        <f t="shared" si="6"/>
        <v>15000</v>
      </c>
      <c r="I21" s="93">
        <f t="shared" si="7"/>
        <v>18300</v>
      </c>
      <c r="J21" s="91">
        <v>1</v>
      </c>
      <c r="K21" s="93">
        <v>19950</v>
      </c>
      <c r="L21" s="93">
        <f t="shared" ref="L21:L22" si="49">J21*K21</f>
        <v>19950</v>
      </c>
      <c r="M21" s="93">
        <f t="shared" ref="M21:M22" si="50">L21*1.22</f>
        <v>24339</v>
      </c>
      <c r="N21" s="91">
        <v>1</v>
      </c>
      <c r="O21" s="93">
        <v>19500</v>
      </c>
      <c r="P21" s="93">
        <f t="shared" ref="P21" si="51">O21*N21</f>
        <v>19500</v>
      </c>
      <c r="Q21" s="93">
        <f t="shared" ref="Q21" si="52">P21*1.22</f>
        <v>23790</v>
      </c>
      <c r="R21" s="91">
        <v>2019</v>
      </c>
      <c r="S21" s="93">
        <f t="shared" si="12"/>
        <v>-5490</v>
      </c>
      <c r="T21" s="213">
        <f t="shared" si="13"/>
        <v>2.2556390977443663E-2</v>
      </c>
      <c r="U21" s="101">
        <v>43453</v>
      </c>
      <c r="V21" s="101">
        <v>43480</v>
      </c>
      <c r="W21" s="101" t="s">
        <v>1304</v>
      </c>
      <c r="X21" s="101">
        <v>43656</v>
      </c>
      <c r="Y21" s="91" t="s">
        <v>1070</v>
      </c>
      <c r="Z21" s="91" t="s">
        <v>1085</v>
      </c>
      <c r="AA21" s="91" t="s">
        <v>961</v>
      </c>
      <c r="AB21" s="214" t="s">
        <v>1304</v>
      </c>
      <c r="AC21" s="214">
        <v>43656</v>
      </c>
      <c r="AD21" s="91">
        <v>43713</v>
      </c>
      <c r="AE21" s="91" t="s">
        <v>1187</v>
      </c>
      <c r="AF21" s="92" t="s">
        <v>1377</v>
      </c>
      <c r="AG21" s="91" t="s">
        <v>1397</v>
      </c>
      <c r="AH21" s="91" t="s">
        <v>8</v>
      </c>
      <c r="AI21" s="91" t="s">
        <v>1541</v>
      </c>
    </row>
    <row r="22" spans="1:35" ht="11.65" hidden="1" x14ac:dyDescent="0.25">
      <c r="A22" s="91">
        <v>16</v>
      </c>
      <c r="B22" s="91" t="s">
        <v>8</v>
      </c>
      <c r="C22" s="92" t="s">
        <v>9</v>
      </c>
      <c r="D22" s="92" t="s">
        <v>205</v>
      </c>
      <c r="E22" s="92" t="s">
        <v>642</v>
      </c>
      <c r="F22" s="91">
        <v>1</v>
      </c>
      <c r="G22" s="93">
        <v>20000</v>
      </c>
      <c r="H22" s="93">
        <f t="shared" si="6"/>
        <v>20000</v>
      </c>
      <c r="I22" s="93">
        <f t="shared" si="7"/>
        <v>24400</v>
      </c>
      <c r="J22" s="91">
        <v>1</v>
      </c>
      <c r="K22" s="93">
        <v>30000</v>
      </c>
      <c r="L22" s="93">
        <f t="shared" si="49"/>
        <v>30000</v>
      </c>
      <c r="M22" s="93">
        <f t="shared" si="50"/>
        <v>36600</v>
      </c>
      <c r="N22" s="91">
        <v>1</v>
      </c>
      <c r="O22" s="93">
        <v>17972.8</v>
      </c>
      <c r="P22" s="93">
        <f>O22*N22</f>
        <v>17972.8</v>
      </c>
      <c r="Q22" s="93">
        <f>P22*1.22</f>
        <v>21926.815999999999</v>
      </c>
      <c r="R22" s="91">
        <v>2018</v>
      </c>
      <c r="S22" s="93">
        <f t="shared" si="12"/>
        <v>2473.1840000000011</v>
      </c>
      <c r="T22" s="213">
        <f t="shared" si="13"/>
        <v>0.40090666666666674</v>
      </c>
      <c r="U22" s="101">
        <v>43291</v>
      </c>
      <c r="V22" s="101">
        <v>43301</v>
      </c>
      <c r="W22" s="101" t="s">
        <v>1363</v>
      </c>
      <c r="X22" s="101" t="s">
        <v>964</v>
      </c>
      <c r="Y22" s="91" t="s">
        <v>962</v>
      </c>
      <c r="Z22" s="91" t="s">
        <v>1132</v>
      </c>
      <c r="AA22" s="91" t="s">
        <v>963</v>
      </c>
      <c r="AB22" s="214" t="s">
        <v>1363</v>
      </c>
      <c r="AC22" s="214" t="s">
        <v>964</v>
      </c>
      <c r="AD22" s="91">
        <v>43494</v>
      </c>
      <c r="AE22" s="91" t="s">
        <v>1079</v>
      </c>
      <c r="AF22" s="92" t="s">
        <v>1377</v>
      </c>
      <c r="AG22" s="91" t="s">
        <v>1398</v>
      </c>
      <c r="AH22" s="91" t="s">
        <v>8</v>
      </c>
      <c r="AI22" s="91" t="s">
        <v>1541</v>
      </c>
    </row>
    <row r="23" spans="1:35" ht="23.1" hidden="1" x14ac:dyDescent="0.25">
      <c r="A23" s="91">
        <v>17</v>
      </c>
      <c r="B23" s="91" t="s">
        <v>8</v>
      </c>
      <c r="C23" s="92" t="s">
        <v>9</v>
      </c>
      <c r="D23" s="92" t="s">
        <v>514</v>
      </c>
      <c r="E23" s="92" t="s">
        <v>643</v>
      </c>
      <c r="F23" s="91">
        <v>1</v>
      </c>
      <c r="G23" s="93">
        <v>5000</v>
      </c>
      <c r="H23" s="93">
        <f t="shared" si="6"/>
        <v>5000</v>
      </c>
      <c r="I23" s="93">
        <f t="shared" si="7"/>
        <v>6100</v>
      </c>
      <c r="J23" s="91">
        <v>1</v>
      </c>
      <c r="K23" s="93">
        <v>7000</v>
      </c>
      <c r="L23" s="93">
        <f t="shared" ref="L23" si="53">J23*K23</f>
        <v>7000</v>
      </c>
      <c r="M23" s="93">
        <f t="shared" ref="M23" si="54">L23*1.22</f>
        <v>8540</v>
      </c>
      <c r="N23" s="91">
        <v>1</v>
      </c>
      <c r="O23" s="93">
        <v>6650</v>
      </c>
      <c r="P23" s="93">
        <f>O23*N23</f>
        <v>6650</v>
      </c>
      <c r="Q23" s="93">
        <f>P23*1.22</f>
        <v>8113</v>
      </c>
      <c r="R23" s="91">
        <v>2019</v>
      </c>
      <c r="S23" s="93">
        <f t="shared" si="12"/>
        <v>-2013</v>
      </c>
      <c r="T23" s="213">
        <f t="shared" si="13"/>
        <v>5.0000000000000044E-2</v>
      </c>
      <c r="U23" s="101">
        <v>43434</v>
      </c>
      <c r="V23" s="101">
        <v>43448</v>
      </c>
      <c r="W23" s="101" t="s">
        <v>1052</v>
      </c>
      <c r="X23" s="101">
        <v>43616</v>
      </c>
      <c r="Y23" s="91" t="s">
        <v>986</v>
      </c>
      <c r="Z23" s="91" t="s">
        <v>1055</v>
      </c>
      <c r="AA23" s="91" t="s">
        <v>1051</v>
      </c>
      <c r="AB23" s="214" t="s">
        <v>1052</v>
      </c>
      <c r="AC23" s="214">
        <v>43616</v>
      </c>
      <c r="AD23" s="91">
        <v>43616</v>
      </c>
      <c r="AE23" s="91" t="s">
        <v>1101</v>
      </c>
      <c r="AF23" s="92" t="s">
        <v>1377</v>
      </c>
      <c r="AG23" s="91" t="s">
        <v>1399</v>
      </c>
      <c r="AH23" s="91" t="s">
        <v>8</v>
      </c>
      <c r="AI23" s="91" t="s">
        <v>1541</v>
      </c>
    </row>
    <row r="24" spans="1:35" ht="34.700000000000003" hidden="1" x14ac:dyDescent="0.25">
      <c r="A24" s="91">
        <v>18</v>
      </c>
      <c r="B24" s="91" t="s">
        <v>8</v>
      </c>
      <c r="C24" s="92" t="s">
        <v>9</v>
      </c>
      <c r="D24" s="92" t="s">
        <v>207</v>
      </c>
      <c r="E24" s="92" t="s">
        <v>839</v>
      </c>
      <c r="F24" s="91">
        <v>1</v>
      </c>
      <c r="G24" s="93">
        <v>190000</v>
      </c>
      <c r="H24" s="93">
        <f t="shared" si="6"/>
        <v>190000</v>
      </c>
      <c r="I24" s="93">
        <f t="shared" si="7"/>
        <v>231800</v>
      </c>
      <c r="J24" s="91">
        <v>1</v>
      </c>
      <c r="K24" s="93">
        <v>95000</v>
      </c>
      <c r="L24" s="93">
        <f t="shared" ref="L24" si="55">J24*K24</f>
        <v>95000</v>
      </c>
      <c r="M24" s="93">
        <f t="shared" ref="M24" si="56">L24*1.22</f>
        <v>115900</v>
      </c>
      <c r="N24" s="91">
        <v>1</v>
      </c>
      <c r="O24" s="93">
        <v>79972</v>
      </c>
      <c r="P24" s="93">
        <f>O24*N24</f>
        <v>79972</v>
      </c>
      <c r="Q24" s="93">
        <f>P24*1.22</f>
        <v>97565.84</v>
      </c>
      <c r="R24" s="91">
        <v>2019</v>
      </c>
      <c r="S24" s="93">
        <f t="shared" si="12"/>
        <v>134234.16</v>
      </c>
      <c r="T24" s="213">
        <f t="shared" si="13"/>
        <v>0.15818947368421055</v>
      </c>
      <c r="U24" s="101">
        <v>43306</v>
      </c>
      <c r="V24" s="101">
        <v>43349</v>
      </c>
      <c r="W24" s="101" t="s">
        <v>1305</v>
      </c>
      <c r="X24" s="101">
        <v>43899</v>
      </c>
      <c r="Y24" s="91" t="s">
        <v>1200</v>
      </c>
      <c r="Z24" s="91" t="s">
        <v>1202</v>
      </c>
      <c r="AA24" s="91" t="s">
        <v>1201</v>
      </c>
      <c r="AB24" s="214" t="s">
        <v>1305</v>
      </c>
      <c r="AC24" s="214">
        <v>43899</v>
      </c>
      <c r="AD24" s="91">
        <v>43965</v>
      </c>
      <c r="AE24" s="91" t="s">
        <v>1261</v>
      </c>
      <c r="AF24" s="92" t="s">
        <v>1377</v>
      </c>
      <c r="AG24" s="91" t="s">
        <v>1400</v>
      </c>
      <c r="AH24" s="91" t="s">
        <v>8</v>
      </c>
      <c r="AI24" s="91" t="s">
        <v>1541</v>
      </c>
    </row>
    <row r="25" spans="1:35" ht="11.65" hidden="1" x14ac:dyDescent="0.25">
      <c r="A25" s="91">
        <v>19</v>
      </c>
      <c r="B25" s="91" t="s">
        <v>8</v>
      </c>
      <c r="C25" s="92" t="s">
        <v>9</v>
      </c>
      <c r="D25" s="92" t="s">
        <v>207</v>
      </c>
      <c r="E25" s="92" t="s">
        <v>521</v>
      </c>
      <c r="F25" s="91">
        <v>1</v>
      </c>
      <c r="G25" s="93">
        <v>70000</v>
      </c>
      <c r="H25" s="93">
        <f t="shared" si="6"/>
        <v>70000</v>
      </c>
      <c r="I25" s="93">
        <f t="shared" si="7"/>
        <v>85400</v>
      </c>
      <c r="J25" s="91">
        <v>1</v>
      </c>
      <c r="K25" s="93">
        <v>70000</v>
      </c>
      <c r="L25" s="93">
        <v>70000</v>
      </c>
      <c r="M25" s="93">
        <f>L25*1.22</f>
        <v>85400</v>
      </c>
      <c r="N25" s="91">
        <v>1</v>
      </c>
      <c r="O25" s="93">
        <v>61950</v>
      </c>
      <c r="P25" s="93">
        <v>61950</v>
      </c>
      <c r="Q25" s="93">
        <f>P25*1.22</f>
        <v>75579</v>
      </c>
      <c r="R25" s="91">
        <v>2019</v>
      </c>
      <c r="S25" s="93">
        <f t="shared" si="12"/>
        <v>9821</v>
      </c>
      <c r="T25" s="213">
        <f t="shared" si="13"/>
        <v>0.11499999999999999</v>
      </c>
      <c r="U25" s="101">
        <v>43403</v>
      </c>
      <c r="V25" s="101">
        <v>43420</v>
      </c>
      <c r="W25" s="101" t="s">
        <v>1141</v>
      </c>
      <c r="X25" s="101">
        <v>43599</v>
      </c>
      <c r="Y25" s="91" t="s">
        <v>1142</v>
      </c>
      <c r="Z25" s="91" t="s">
        <v>1143</v>
      </c>
      <c r="AA25" s="91" t="s">
        <v>971</v>
      </c>
      <c r="AB25" s="214" t="s">
        <v>1141</v>
      </c>
      <c r="AC25" s="214">
        <v>43599</v>
      </c>
      <c r="AD25" s="91">
        <v>43599</v>
      </c>
      <c r="AE25" s="91" t="s">
        <v>1141</v>
      </c>
      <c r="AF25" s="92" t="s">
        <v>1377</v>
      </c>
      <c r="AG25" s="91" t="s">
        <v>1401</v>
      </c>
      <c r="AH25" s="91" t="s">
        <v>8</v>
      </c>
      <c r="AI25" s="91" t="s">
        <v>1541</v>
      </c>
    </row>
    <row r="26" spans="1:35" ht="36" x14ac:dyDescent="0.25">
      <c r="A26" s="91">
        <v>20</v>
      </c>
      <c r="B26" s="91" t="s">
        <v>8</v>
      </c>
      <c r="C26" s="92" t="s">
        <v>9</v>
      </c>
      <c r="D26" s="92" t="s">
        <v>291</v>
      </c>
      <c r="E26" s="92" t="s">
        <v>193</v>
      </c>
      <c r="F26" s="91">
        <v>1</v>
      </c>
      <c r="G26" s="93">
        <v>50000</v>
      </c>
      <c r="H26" s="93">
        <f t="shared" si="6"/>
        <v>50000</v>
      </c>
      <c r="I26" s="93">
        <f t="shared" si="7"/>
        <v>61000</v>
      </c>
      <c r="J26" s="91">
        <v>1</v>
      </c>
      <c r="K26" s="93">
        <v>40000</v>
      </c>
      <c r="L26" s="93">
        <f t="shared" ref="L26:L28" si="57">J26*K26</f>
        <v>40000</v>
      </c>
      <c r="M26" s="93">
        <f t="shared" ref="M26:M28" si="58">L26*1.22</f>
        <v>48800</v>
      </c>
      <c r="N26" s="91">
        <v>1</v>
      </c>
      <c r="O26" s="93">
        <v>39626.080000000002</v>
      </c>
      <c r="P26" s="93">
        <f t="shared" ref="P26:P28" si="59">N26*O26</f>
        <v>39626.080000000002</v>
      </c>
      <c r="Q26" s="93">
        <f t="shared" ref="Q26:Q27" si="60">P26*1.22</f>
        <v>48343.817600000002</v>
      </c>
      <c r="R26" s="91">
        <v>2019</v>
      </c>
      <c r="S26" s="93">
        <f t="shared" si="12"/>
        <v>12656.182399999998</v>
      </c>
      <c r="T26" s="213">
        <f t="shared" si="13"/>
        <v>9.3479999999999119E-3</v>
      </c>
      <c r="U26" s="101">
        <v>43248</v>
      </c>
      <c r="V26" s="101">
        <v>43283</v>
      </c>
      <c r="W26" s="101" t="s">
        <v>1001</v>
      </c>
      <c r="X26" s="101">
        <v>43763</v>
      </c>
      <c r="Y26" s="91" t="s">
        <v>1157</v>
      </c>
      <c r="Z26" s="91" t="s">
        <v>1185</v>
      </c>
      <c r="AA26" s="91" t="s">
        <v>1174</v>
      </c>
      <c r="AB26" s="214" t="s">
        <v>1001</v>
      </c>
      <c r="AC26" s="214">
        <v>43763</v>
      </c>
      <c r="AD26" s="91">
        <v>43846</v>
      </c>
      <c r="AE26" s="91" t="s">
        <v>1402</v>
      </c>
      <c r="AF26" s="92" t="s">
        <v>1377</v>
      </c>
      <c r="AG26" s="91" t="s">
        <v>1403</v>
      </c>
      <c r="AH26" s="91" t="s">
        <v>1546</v>
      </c>
      <c r="AI26" s="91" t="s">
        <v>1541</v>
      </c>
    </row>
    <row r="27" spans="1:35" ht="36" x14ac:dyDescent="0.25">
      <c r="A27" s="91">
        <v>21</v>
      </c>
      <c r="B27" s="91" t="s">
        <v>8</v>
      </c>
      <c r="C27" s="92" t="s">
        <v>9</v>
      </c>
      <c r="D27" s="92" t="s">
        <v>64</v>
      </c>
      <c r="E27" s="92" t="s">
        <v>498</v>
      </c>
      <c r="F27" s="91">
        <v>1</v>
      </c>
      <c r="G27" s="93">
        <v>100000</v>
      </c>
      <c r="H27" s="93">
        <f t="shared" si="6"/>
        <v>100000</v>
      </c>
      <c r="I27" s="93">
        <f t="shared" si="7"/>
        <v>122000</v>
      </c>
      <c r="J27" s="91">
        <v>1</v>
      </c>
      <c r="K27" s="93">
        <v>80000</v>
      </c>
      <c r="L27" s="93">
        <f t="shared" si="57"/>
        <v>80000</v>
      </c>
      <c r="M27" s="93">
        <f t="shared" si="58"/>
        <v>97600</v>
      </c>
      <c r="N27" s="91">
        <v>1</v>
      </c>
      <c r="O27" s="93">
        <v>47579.1</v>
      </c>
      <c r="P27" s="93">
        <f t="shared" si="59"/>
        <v>47579.1</v>
      </c>
      <c r="Q27" s="93">
        <f t="shared" si="60"/>
        <v>58046.502</v>
      </c>
      <c r="R27" s="91">
        <v>2019</v>
      </c>
      <c r="S27" s="93">
        <f t="shared" si="12"/>
        <v>63953.498</v>
      </c>
      <c r="T27" s="213">
        <f t="shared" si="13"/>
        <v>0.40526125000000002</v>
      </c>
      <c r="U27" s="101">
        <v>43248</v>
      </c>
      <c r="V27" s="101">
        <v>43283</v>
      </c>
      <c r="W27" s="101" t="s">
        <v>1586</v>
      </c>
      <c r="X27" s="101" t="s">
        <v>1001</v>
      </c>
      <c r="Y27" s="91" t="s">
        <v>1173</v>
      </c>
      <c r="Z27" s="91" t="s">
        <v>1171</v>
      </c>
      <c r="AA27" s="91" t="s">
        <v>1172</v>
      </c>
      <c r="AB27" s="214" t="s">
        <v>1001</v>
      </c>
      <c r="AC27" s="251">
        <v>43780</v>
      </c>
      <c r="AD27" s="101">
        <v>43782</v>
      </c>
      <c r="AE27" s="91" t="s">
        <v>1170</v>
      </c>
      <c r="AF27" s="92" t="s">
        <v>1377</v>
      </c>
      <c r="AG27" s="91" t="s">
        <v>1428</v>
      </c>
      <c r="AH27" s="91" t="s">
        <v>1546</v>
      </c>
      <c r="AI27" s="91" t="s">
        <v>1541</v>
      </c>
    </row>
    <row r="28" spans="1:35" ht="11.65" hidden="1" x14ac:dyDescent="0.25">
      <c r="A28" s="91">
        <v>22</v>
      </c>
      <c r="B28" s="91" t="s">
        <v>8</v>
      </c>
      <c r="C28" s="92" t="s">
        <v>9</v>
      </c>
      <c r="D28" s="92" t="s">
        <v>523</v>
      </c>
      <c r="E28" s="92" t="s">
        <v>524</v>
      </c>
      <c r="F28" s="91">
        <v>1</v>
      </c>
      <c r="G28" s="93">
        <v>3000</v>
      </c>
      <c r="H28" s="93">
        <f t="shared" si="6"/>
        <v>3000</v>
      </c>
      <c r="I28" s="93">
        <f t="shared" si="7"/>
        <v>3660</v>
      </c>
      <c r="J28" s="91">
        <v>1</v>
      </c>
      <c r="K28" s="93">
        <v>2000</v>
      </c>
      <c r="L28" s="93">
        <f t="shared" si="57"/>
        <v>2000</v>
      </c>
      <c r="M28" s="93">
        <f t="shared" si="58"/>
        <v>2440</v>
      </c>
      <c r="N28" s="91">
        <v>1</v>
      </c>
      <c r="O28" s="93">
        <v>1986</v>
      </c>
      <c r="P28" s="93">
        <f t="shared" si="59"/>
        <v>1986</v>
      </c>
      <c r="Q28" s="93">
        <f t="shared" ref="Q28:Q29" si="61">P28*1.22</f>
        <v>2422.92</v>
      </c>
      <c r="R28" s="91">
        <v>2018</v>
      </c>
      <c r="S28" s="93">
        <f t="shared" si="12"/>
        <v>1237.08</v>
      </c>
      <c r="T28" s="213">
        <f t="shared" si="13"/>
        <v>7.0000000000000062E-3</v>
      </c>
      <c r="U28" s="101">
        <v>43277</v>
      </c>
      <c r="V28" s="101">
        <v>43284</v>
      </c>
      <c r="W28" s="101" t="s">
        <v>1364</v>
      </c>
      <c r="X28" s="101">
        <v>43497</v>
      </c>
      <c r="Y28" s="91" t="s">
        <v>1006</v>
      </c>
      <c r="Z28" s="91"/>
      <c r="AA28" s="91" t="s">
        <v>1005</v>
      </c>
      <c r="AB28" s="214" t="s">
        <v>1364</v>
      </c>
      <c r="AC28" s="214">
        <v>43497</v>
      </c>
      <c r="AD28" s="91">
        <v>43497</v>
      </c>
      <c r="AE28" s="91" t="s">
        <v>1019</v>
      </c>
      <c r="AF28" s="92" t="s">
        <v>1377</v>
      </c>
      <c r="AG28" s="91" t="s">
        <v>1404</v>
      </c>
      <c r="AH28" s="91" t="s">
        <v>8</v>
      </c>
      <c r="AI28" s="91" t="s">
        <v>1541</v>
      </c>
    </row>
    <row r="29" spans="1:35" ht="24" x14ac:dyDescent="0.25">
      <c r="A29" s="91">
        <v>23</v>
      </c>
      <c r="B29" s="91" t="s">
        <v>8</v>
      </c>
      <c r="C29" s="92" t="s">
        <v>9</v>
      </c>
      <c r="D29" s="92" t="s">
        <v>523</v>
      </c>
      <c r="E29" s="92" t="s">
        <v>525</v>
      </c>
      <c r="F29" s="91">
        <v>1</v>
      </c>
      <c r="G29" s="93">
        <v>1500</v>
      </c>
      <c r="H29" s="93">
        <f t="shared" si="6"/>
        <v>1500</v>
      </c>
      <c r="I29" s="93">
        <f t="shared" si="7"/>
        <v>1830</v>
      </c>
      <c r="J29" s="91">
        <v>1</v>
      </c>
      <c r="K29" s="93">
        <v>3166.66</v>
      </c>
      <c r="L29" s="93">
        <f t="shared" ref="L29:L30" si="62">J29*K29</f>
        <v>3166.66</v>
      </c>
      <c r="M29" s="93">
        <f t="shared" ref="M29:M30" si="63">L29*1.22</f>
        <v>3863.3251999999998</v>
      </c>
      <c r="N29" s="91">
        <v>1</v>
      </c>
      <c r="O29" s="93">
        <f>44872.6/18</f>
        <v>2492.922222222222</v>
      </c>
      <c r="P29" s="93">
        <f t="shared" ref="P29" si="64">N29*O29</f>
        <v>2492.922222222222</v>
      </c>
      <c r="Q29" s="93">
        <f t="shared" si="61"/>
        <v>3041.3651111111108</v>
      </c>
      <c r="R29" s="91">
        <v>2019</v>
      </c>
      <c r="S29" s="93">
        <f t="shared" si="12"/>
        <v>-1211.3651111111108</v>
      </c>
      <c r="T29" s="213">
        <f t="shared" si="13"/>
        <v>0.21275974616086912</v>
      </c>
      <c r="U29" s="101">
        <v>43321</v>
      </c>
      <c r="V29" s="101" t="s">
        <v>995</v>
      </c>
      <c r="W29" s="101" t="s">
        <v>1362</v>
      </c>
      <c r="X29" s="101">
        <v>43945</v>
      </c>
      <c r="Y29" s="91" t="s">
        <v>1270</v>
      </c>
      <c r="Z29" s="91" t="s">
        <v>1197</v>
      </c>
      <c r="AA29" s="91" t="s">
        <v>996</v>
      </c>
      <c r="AB29" s="214" t="s">
        <v>1362</v>
      </c>
      <c r="AC29" s="214">
        <v>43945</v>
      </c>
      <c r="AD29" s="91">
        <v>43945</v>
      </c>
      <c r="AE29" s="91" t="s">
        <v>1306</v>
      </c>
      <c r="AF29" s="92" t="s">
        <v>1377</v>
      </c>
      <c r="AG29" s="91" t="s">
        <v>1389</v>
      </c>
      <c r="AH29" s="91" t="s">
        <v>1546</v>
      </c>
      <c r="AI29" s="91" t="s">
        <v>1541</v>
      </c>
    </row>
    <row r="30" spans="1:35" ht="11.65" hidden="1" x14ac:dyDescent="0.25">
      <c r="A30" s="91">
        <v>24</v>
      </c>
      <c r="B30" s="91" t="s">
        <v>8</v>
      </c>
      <c r="C30" s="92" t="s">
        <v>9</v>
      </c>
      <c r="D30" s="92" t="s">
        <v>523</v>
      </c>
      <c r="E30" s="92" t="s">
        <v>840</v>
      </c>
      <c r="F30" s="91">
        <v>1</v>
      </c>
      <c r="G30" s="93">
        <v>8000</v>
      </c>
      <c r="H30" s="93">
        <f t="shared" si="6"/>
        <v>8000</v>
      </c>
      <c r="I30" s="93">
        <f t="shared" si="7"/>
        <v>9760</v>
      </c>
      <c r="J30" s="91">
        <v>1</v>
      </c>
      <c r="K30" s="93">
        <v>8000</v>
      </c>
      <c r="L30" s="93">
        <f t="shared" si="62"/>
        <v>8000</v>
      </c>
      <c r="M30" s="93">
        <f t="shared" si="63"/>
        <v>9760</v>
      </c>
      <c r="N30" s="91">
        <v>1</v>
      </c>
      <c r="O30" s="93">
        <v>7996</v>
      </c>
      <c r="P30" s="93">
        <f t="shared" ref="P30" si="65">N30*O30</f>
        <v>7996</v>
      </c>
      <c r="Q30" s="93">
        <f t="shared" ref="Q30" si="66">P30*1.22</f>
        <v>9755.119999999999</v>
      </c>
      <c r="R30" s="91">
        <v>2017</v>
      </c>
      <c r="S30" s="93">
        <f t="shared" si="12"/>
        <v>4.8800000000010186</v>
      </c>
      <c r="T30" s="213">
        <f t="shared" si="13"/>
        <v>5.0000000000005596E-4</v>
      </c>
      <c r="U30" s="101">
        <v>42958</v>
      </c>
      <c r="V30" s="101">
        <v>42993</v>
      </c>
      <c r="W30" s="101" t="s">
        <v>1308</v>
      </c>
      <c r="X30" s="101">
        <v>43080</v>
      </c>
      <c r="Y30" s="91" t="s">
        <v>1021</v>
      </c>
      <c r="Z30" s="91"/>
      <c r="AA30" s="91" t="s">
        <v>1020</v>
      </c>
      <c r="AB30" s="214" t="s">
        <v>1308</v>
      </c>
      <c r="AC30" s="214">
        <v>43080</v>
      </c>
      <c r="AD30" s="91">
        <v>43243</v>
      </c>
      <c r="AE30" s="91" t="s">
        <v>1022</v>
      </c>
      <c r="AF30" s="92" t="s">
        <v>1377</v>
      </c>
      <c r="AG30" s="91" t="s">
        <v>1405</v>
      </c>
      <c r="AH30" s="91" t="s">
        <v>8</v>
      </c>
      <c r="AI30" s="91" t="s">
        <v>1541</v>
      </c>
    </row>
    <row r="31" spans="1:35" ht="11.65" hidden="1" x14ac:dyDescent="0.25">
      <c r="A31" s="91">
        <v>25</v>
      </c>
      <c r="B31" s="91" t="s">
        <v>8</v>
      </c>
      <c r="C31" s="92" t="s">
        <v>9</v>
      </c>
      <c r="D31" s="92" t="s">
        <v>523</v>
      </c>
      <c r="E31" s="92" t="s">
        <v>526</v>
      </c>
      <c r="F31" s="91">
        <v>1</v>
      </c>
      <c r="G31" s="93">
        <v>10000</v>
      </c>
      <c r="H31" s="93">
        <f t="shared" si="6"/>
        <v>10000</v>
      </c>
      <c r="I31" s="93">
        <f t="shared" si="7"/>
        <v>12200</v>
      </c>
      <c r="J31" s="91">
        <v>1</v>
      </c>
      <c r="K31" s="93">
        <v>10000</v>
      </c>
      <c r="L31" s="93">
        <f t="shared" ref="L31" si="67">J31*K31</f>
        <v>10000</v>
      </c>
      <c r="M31" s="93">
        <f t="shared" ref="M31" si="68">L31*1.22</f>
        <v>12200</v>
      </c>
      <c r="N31" s="91">
        <v>1</v>
      </c>
      <c r="O31" s="93">
        <v>4900</v>
      </c>
      <c r="P31" s="93">
        <f>O31*N31</f>
        <v>4900</v>
      </c>
      <c r="Q31" s="93">
        <f>P31*1.22</f>
        <v>5978</v>
      </c>
      <c r="R31" s="91">
        <v>2019</v>
      </c>
      <c r="S31" s="93">
        <f t="shared" si="12"/>
        <v>6222</v>
      </c>
      <c r="T31" s="213">
        <f t="shared" si="13"/>
        <v>0.51</v>
      </c>
      <c r="U31" s="101">
        <v>43342</v>
      </c>
      <c r="V31" s="101">
        <v>43361</v>
      </c>
      <c r="W31" s="101" t="s">
        <v>1189</v>
      </c>
      <c r="X31" s="101">
        <v>43643</v>
      </c>
      <c r="Y31" s="91" t="s">
        <v>1064</v>
      </c>
      <c r="Z31" s="91" t="s">
        <v>1065</v>
      </c>
      <c r="AA31" s="91" t="s">
        <v>965</v>
      </c>
      <c r="AB31" s="214" t="s">
        <v>1189</v>
      </c>
      <c r="AC31" s="214">
        <v>43643</v>
      </c>
      <c r="AD31" s="91">
        <v>43798</v>
      </c>
      <c r="AE31" s="91" t="s">
        <v>1135</v>
      </c>
      <c r="AF31" s="92" t="s">
        <v>1377</v>
      </c>
      <c r="AG31" s="91" t="s">
        <v>1406</v>
      </c>
      <c r="AH31" s="91" t="s">
        <v>8</v>
      </c>
      <c r="AI31" s="91" t="s">
        <v>1541</v>
      </c>
    </row>
    <row r="32" spans="1:35" ht="11.65" hidden="1" x14ac:dyDescent="0.25">
      <c r="A32" s="6">
        <v>26</v>
      </c>
      <c r="B32" s="152" t="s">
        <v>8</v>
      </c>
      <c r="C32" s="90" t="s">
        <v>9</v>
      </c>
      <c r="D32" s="90" t="s">
        <v>523</v>
      </c>
      <c r="E32" s="90" t="s">
        <v>527</v>
      </c>
      <c r="F32" s="153">
        <v>1</v>
      </c>
      <c r="G32" s="7">
        <v>1500</v>
      </c>
      <c r="H32" s="7">
        <f t="shared" si="6"/>
        <v>1500</v>
      </c>
      <c r="I32" s="7">
        <f t="shared" si="7"/>
        <v>1830</v>
      </c>
      <c r="J32" s="58"/>
      <c r="K32" s="193"/>
      <c r="L32" s="193"/>
      <c r="M32" s="193"/>
      <c r="N32" s="6">
        <v>0</v>
      </c>
      <c r="O32" s="6">
        <v>0</v>
      </c>
      <c r="P32" s="6">
        <v>0</v>
      </c>
      <c r="Q32" s="6">
        <f>P32*1.22</f>
        <v>0</v>
      </c>
      <c r="R32" s="6"/>
      <c r="S32" s="7">
        <f t="shared" si="12"/>
        <v>1830</v>
      </c>
      <c r="T32" s="54" t="e">
        <f t="shared" si="13"/>
        <v>#DIV/0!</v>
      </c>
      <c r="U32" s="6"/>
      <c r="V32" s="6"/>
      <c r="W32" s="6"/>
      <c r="X32" s="6"/>
      <c r="Y32" s="6"/>
      <c r="Z32" s="6"/>
      <c r="AA32" s="6"/>
      <c r="AB32" s="6"/>
      <c r="AC32" s="6"/>
      <c r="AD32" s="6"/>
      <c r="AE32" s="6"/>
      <c r="AF32" s="5"/>
      <c r="AG32" s="5"/>
      <c r="AH32" s="6" t="s">
        <v>8</v>
      </c>
      <c r="AI32" s="6" t="s">
        <v>1552</v>
      </c>
    </row>
    <row r="33" spans="1:35" ht="11.65" hidden="1" x14ac:dyDescent="0.25">
      <c r="A33" s="91">
        <v>27</v>
      </c>
      <c r="B33" s="91" t="s">
        <v>8</v>
      </c>
      <c r="C33" s="92" t="s">
        <v>9</v>
      </c>
      <c r="D33" s="92" t="s">
        <v>523</v>
      </c>
      <c r="E33" s="92" t="s">
        <v>528</v>
      </c>
      <c r="F33" s="91">
        <v>1</v>
      </c>
      <c r="G33" s="93">
        <v>5000</v>
      </c>
      <c r="H33" s="93">
        <f t="shared" si="6"/>
        <v>5000</v>
      </c>
      <c r="I33" s="93">
        <f t="shared" si="7"/>
        <v>6100</v>
      </c>
      <c r="J33" s="91">
        <v>1</v>
      </c>
      <c r="K33" s="93">
        <v>1000</v>
      </c>
      <c r="L33" s="93">
        <f t="shared" ref="L33" si="69">J33*K33</f>
        <v>1000</v>
      </c>
      <c r="M33" s="93">
        <f t="shared" ref="M33" si="70">L33*1.22</f>
        <v>1220</v>
      </c>
      <c r="N33" s="91">
        <v>1</v>
      </c>
      <c r="O33" s="93">
        <v>779</v>
      </c>
      <c r="P33" s="93">
        <f t="shared" ref="P33" si="71">N33*O33</f>
        <v>779</v>
      </c>
      <c r="Q33" s="93">
        <f t="shared" ref="Q33" si="72">P33*1.22</f>
        <v>950.38</v>
      </c>
      <c r="R33" s="91">
        <v>2018</v>
      </c>
      <c r="S33" s="93">
        <f t="shared" si="12"/>
        <v>5149.62</v>
      </c>
      <c r="T33" s="213">
        <f t="shared" si="13"/>
        <v>0.22099999999999997</v>
      </c>
      <c r="U33" s="101">
        <v>43066</v>
      </c>
      <c r="V33" s="101"/>
      <c r="W33" s="101"/>
      <c r="X33" s="101">
        <v>43110</v>
      </c>
      <c r="Y33" s="91" t="s">
        <v>1024</v>
      </c>
      <c r="Z33" s="91"/>
      <c r="AA33" s="91" t="s">
        <v>1025</v>
      </c>
      <c r="AB33" s="214"/>
      <c r="AC33" s="214">
        <v>43110</v>
      </c>
      <c r="AD33" s="91">
        <v>43243</v>
      </c>
      <c r="AE33" s="91" t="s">
        <v>1023</v>
      </c>
      <c r="AF33" s="92" t="s">
        <v>1377</v>
      </c>
      <c r="AG33" s="91" t="s">
        <v>1407</v>
      </c>
      <c r="AH33" s="91" t="s">
        <v>8</v>
      </c>
      <c r="AI33" s="91" t="s">
        <v>1541</v>
      </c>
    </row>
    <row r="34" spans="1:35" ht="11.65" hidden="1" x14ac:dyDescent="0.25">
      <c r="A34" s="6">
        <v>28</v>
      </c>
      <c r="B34" s="152" t="s">
        <v>8</v>
      </c>
      <c r="C34" s="90" t="s">
        <v>9</v>
      </c>
      <c r="D34" s="90" t="s">
        <v>523</v>
      </c>
      <c r="E34" s="90" t="s">
        <v>529</v>
      </c>
      <c r="F34" s="153">
        <v>2</v>
      </c>
      <c r="G34" s="7">
        <v>300</v>
      </c>
      <c r="H34" s="7">
        <f t="shared" si="6"/>
        <v>600</v>
      </c>
      <c r="I34" s="7">
        <f t="shared" si="7"/>
        <v>732</v>
      </c>
      <c r="J34" s="58">
        <v>2</v>
      </c>
      <c r="K34" s="7">
        <v>325</v>
      </c>
      <c r="L34" s="7">
        <f t="shared" ref="L34:L35" si="73">J34*K34</f>
        <v>650</v>
      </c>
      <c r="M34" s="7">
        <f t="shared" ref="M34:M35" si="74">L34*1.22</f>
        <v>793</v>
      </c>
      <c r="N34" s="6">
        <v>2</v>
      </c>
      <c r="O34" s="7">
        <v>106.05500000000001</v>
      </c>
      <c r="P34" s="7">
        <f>O34*N34</f>
        <v>212.11</v>
      </c>
      <c r="Q34" s="7">
        <f>P34*1.22</f>
        <v>258.77420000000001</v>
      </c>
      <c r="R34" s="6">
        <v>2018</v>
      </c>
      <c r="S34" s="7">
        <f t="shared" si="12"/>
        <v>473.22579999999999</v>
      </c>
      <c r="T34" s="54">
        <f t="shared" si="13"/>
        <v>0.67367692307692306</v>
      </c>
      <c r="U34" s="20">
        <v>43322</v>
      </c>
      <c r="V34" s="20">
        <v>43353</v>
      </c>
      <c r="W34" s="6" t="s">
        <v>1365</v>
      </c>
      <c r="X34" s="6"/>
      <c r="Y34" s="6" t="s">
        <v>1309</v>
      </c>
      <c r="Z34" s="6"/>
      <c r="AA34" s="192" t="s">
        <v>967</v>
      </c>
      <c r="AB34" s="6" t="s">
        <v>1365</v>
      </c>
      <c r="AC34" s="6"/>
      <c r="AD34" s="6"/>
      <c r="AE34" s="6"/>
      <c r="AF34" s="5"/>
      <c r="AG34" s="5"/>
      <c r="AH34" s="6" t="s">
        <v>8</v>
      </c>
      <c r="AI34" s="40" t="s">
        <v>1541</v>
      </c>
    </row>
    <row r="35" spans="1:35" ht="23.1" hidden="1" x14ac:dyDescent="0.25">
      <c r="A35" s="91">
        <v>29</v>
      </c>
      <c r="B35" s="91" t="s">
        <v>8</v>
      </c>
      <c r="C35" s="92" t="s">
        <v>9</v>
      </c>
      <c r="D35" s="92" t="s">
        <v>523</v>
      </c>
      <c r="E35" s="92" t="s">
        <v>530</v>
      </c>
      <c r="F35" s="91">
        <v>1</v>
      </c>
      <c r="G35" s="93">
        <v>2500</v>
      </c>
      <c r="H35" s="93">
        <f t="shared" si="6"/>
        <v>2500</v>
      </c>
      <c r="I35" s="93">
        <f t="shared" si="7"/>
        <v>3050</v>
      </c>
      <c r="J35" s="91">
        <v>1</v>
      </c>
      <c r="K35" s="93">
        <v>1500</v>
      </c>
      <c r="L35" s="93">
        <f t="shared" si="73"/>
        <v>1500</v>
      </c>
      <c r="M35" s="93">
        <f t="shared" si="74"/>
        <v>1830</v>
      </c>
      <c r="N35" s="91">
        <v>1</v>
      </c>
      <c r="O35" s="93">
        <v>1470</v>
      </c>
      <c r="P35" s="93">
        <f t="shared" ref="P35" si="75">O35*N35</f>
        <v>1470</v>
      </c>
      <c r="Q35" s="93">
        <f t="shared" ref="Q35" si="76">P35*1.22</f>
        <v>1793.3999999999999</v>
      </c>
      <c r="R35" s="91">
        <v>2019</v>
      </c>
      <c r="S35" s="93">
        <f t="shared" si="12"/>
        <v>1256.6000000000001</v>
      </c>
      <c r="T35" s="213">
        <f t="shared" si="13"/>
        <v>2.0000000000000129E-2</v>
      </c>
      <c r="U35" s="101">
        <v>43493</v>
      </c>
      <c r="V35" s="101">
        <v>43510</v>
      </c>
      <c r="W35" s="101" t="s">
        <v>1054</v>
      </c>
      <c r="X35" s="101"/>
      <c r="Y35" s="91" t="s">
        <v>1511</v>
      </c>
      <c r="Z35" s="91" t="s">
        <v>1513</v>
      </c>
      <c r="AA35" s="91" t="s">
        <v>1071</v>
      </c>
      <c r="AB35" s="214" t="s">
        <v>1512</v>
      </c>
      <c r="AC35" s="214">
        <v>43776</v>
      </c>
      <c r="AD35" s="91">
        <v>43776</v>
      </c>
      <c r="AE35" s="91" t="s">
        <v>1374</v>
      </c>
      <c r="AF35" s="92" t="s">
        <v>1377</v>
      </c>
      <c r="AG35" s="91" t="s">
        <v>1408</v>
      </c>
      <c r="AH35" s="91" t="s">
        <v>8</v>
      </c>
      <c r="AI35" s="91" t="s">
        <v>1541</v>
      </c>
    </row>
    <row r="36" spans="1:35" ht="11.65" hidden="1" x14ac:dyDescent="0.25">
      <c r="A36" s="6">
        <v>30</v>
      </c>
      <c r="B36" s="152" t="s">
        <v>8</v>
      </c>
      <c r="C36" s="90" t="s">
        <v>9</v>
      </c>
      <c r="D36" s="90" t="s">
        <v>523</v>
      </c>
      <c r="E36" s="90" t="s">
        <v>531</v>
      </c>
      <c r="F36" s="153">
        <v>2</v>
      </c>
      <c r="G36" s="7">
        <v>300</v>
      </c>
      <c r="H36" s="7">
        <f t="shared" si="6"/>
        <v>600</v>
      </c>
      <c r="I36" s="7">
        <f t="shared" si="7"/>
        <v>732</v>
      </c>
      <c r="J36" s="58">
        <v>1</v>
      </c>
      <c r="K36" s="7">
        <v>400</v>
      </c>
      <c r="L36" s="7">
        <f t="shared" ref="L36" si="77">J36*K36</f>
        <v>400</v>
      </c>
      <c r="M36" s="7">
        <f t="shared" ref="M36" si="78">L36*1.22</f>
        <v>488</v>
      </c>
      <c r="N36" s="6">
        <v>1</v>
      </c>
      <c r="O36" s="7">
        <v>176.4</v>
      </c>
      <c r="P36" s="7">
        <f>O36*N36</f>
        <v>176.4</v>
      </c>
      <c r="Q36" s="7">
        <f>P36*1.22</f>
        <v>215.208</v>
      </c>
      <c r="R36" s="6">
        <v>2018</v>
      </c>
      <c r="S36" s="7">
        <f t="shared" si="12"/>
        <v>516.79200000000003</v>
      </c>
      <c r="T36" s="54">
        <f t="shared" si="13"/>
        <v>0.55899999999999994</v>
      </c>
      <c r="U36" s="20">
        <v>43322</v>
      </c>
      <c r="V36" s="20">
        <v>43353</v>
      </c>
      <c r="W36" s="6" t="s">
        <v>1365</v>
      </c>
      <c r="X36" s="6"/>
      <c r="Y36" s="6" t="s">
        <v>1309</v>
      </c>
      <c r="Z36" s="6"/>
      <c r="AA36" s="192" t="s">
        <v>966</v>
      </c>
      <c r="AB36" s="6" t="s">
        <v>1365</v>
      </c>
      <c r="AC36" s="6"/>
      <c r="AD36" s="6"/>
      <c r="AE36" s="6"/>
      <c r="AF36" s="5"/>
      <c r="AG36" s="5"/>
      <c r="AH36" s="6" t="s">
        <v>8</v>
      </c>
      <c r="AI36" s="40" t="s">
        <v>1541</v>
      </c>
    </row>
    <row r="37" spans="1:35" ht="11.65" hidden="1" x14ac:dyDescent="0.25">
      <c r="A37" s="91">
        <v>31</v>
      </c>
      <c r="B37" s="91" t="s">
        <v>8</v>
      </c>
      <c r="C37" s="92" t="s">
        <v>9</v>
      </c>
      <c r="D37" s="92" t="s">
        <v>523</v>
      </c>
      <c r="E37" s="92" t="s">
        <v>532</v>
      </c>
      <c r="F37" s="91">
        <v>1</v>
      </c>
      <c r="G37" s="93">
        <v>600</v>
      </c>
      <c r="H37" s="93">
        <f t="shared" si="6"/>
        <v>600</v>
      </c>
      <c r="I37" s="93">
        <f t="shared" si="7"/>
        <v>732</v>
      </c>
      <c r="J37" s="91">
        <v>1</v>
      </c>
      <c r="K37" s="93">
        <v>100</v>
      </c>
      <c r="L37" s="93">
        <f t="shared" ref="L37" si="79">J37*K37</f>
        <v>100</v>
      </c>
      <c r="M37" s="93">
        <f t="shared" ref="M37" si="80">L37*1.22</f>
        <v>122</v>
      </c>
      <c r="N37" s="91">
        <v>1</v>
      </c>
      <c r="O37" s="93">
        <v>65</v>
      </c>
      <c r="P37" s="93">
        <f>O37*N37</f>
        <v>65</v>
      </c>
      <c r="Q37" s="93">
        <f>P37*1.22</f>
        <v>79.3</v>
      </c>
      <c r="R37" s="91">
        <v>2018</v>
      </c>
      <c r="S37" s="93">
        <f t="shared" si="12"/>
        <v>652.70000000000005</v>
      </c>
      <c r="T37" s="213">
        <f t="shared" si="13"/>
        <v>0.35</v>
      </c>
      <c r="U37" s="101">
        <v>43322</v>
      </c>
      <c r="V37" s="101">
        <v>43350</v>
      </c>
      <c r="W37" s="101" t="s">
        <v>1366</v>
      </c>
      <c r="X37" s="101">
        <v>43495</v>
      </c>
      <c r="Y37" s="91" t="s">
        <v>1108</v>
      </c>
      <c r="Z37" s="91" t="s">
        <v>1110</v>
      </c>
      <c r="AA37" s="91" t="s">
        <v>968</v>
      </c>
      <c r="AB37" s="214" t="s">
        <v>1366</v>
      </c>
      <c r="AC37" s="214">
        <v>43495</v>
      </c>
      <c r="AD37" s="91" t="s">
        <v>1111</v>
      </c>
      <c r="AE37" s="91" t="s">
        <v>1310</v>
      </c>
      <c r="AF37" s="92" t="s">
        <v>1377</v>
      </c>
      <c r="AG37" s="91" t="s">
        <v>1409</v>
      </c>
      <c r="AH37" s="91" t="s">
        <v>8</v>
      </c>
      <c r="AI37" s="91" t="s">
        <v>1541</v>
      </c>
    </row>
    <row r="38" spans="1:35" ht="11.65" hidden="1" x14ac:dyDescent="0.25">
      <c r="A38" s="91">
        <v>32</v>
      </c>
      <c r="B38" s="91" t="s">
        <v>8</v>
      </c>
      <c r="C38" s="92" t="s">
        <v>9</v>
      </c>
      <c r="D38" s="92" t="s">
        <v>523</v>
      </c>
      <c r="E38" s="92" t="s">
        <v>533</v>
      </c>
      <c r="F38" s="91">
        <v>1</v>
      </c>
      <c r="G38" s="93">
        <v>300</v>
      </c>
      <c r="H38" s="93">
        <f t="shared" si="6"/>
        <v>300</v>
      </c>
      <c r="I38" s="93">
        <f t="shared" si="7"/>
        <v>366</v>
      </c>
      <c r="J38" s="91">
        <v>1</v>
      </c>
      <c r="K38" s="93">
        <v>600</v>
      </c>
      <c r="L38" s="93">
        <f t="shared" ref="L38" si="81">J38*K38</f>
        <v>600</v>
      </c>
      <c r="M38" s="93">
        <f t="shared" ref="M38" si="82">L38*1.22</f>
        <v>732</v>
      </c>
      <c r="N38" s="91">
        <v>1</v>
      </c>
      <c r="O38" s="93">
        <v>567</v>
      </c>
      <c r="P38" s="93">
        <f>O38*N38</f>
        <v>567</v>
      </c>
      <c r="Q38" s="93">
        <f>P38*1.22</f>
        <v>691.74</v>
      </c>
      <c r="R38" s="91">
        <v>2018</v>
      </c>
      <c r="S38" s="93">
        <f t="shared" si="12"/>
        <v>-325.74</v>
      </c>
      <c r="T38" s="213">
        <f t="shared" si="13"/>
        <v>5.4999999999999938E-2</v>
      </c>
      <c r="U38" s="101">
        <v>43322</v>
      </c>
      <c r="V38" s="101">
        <v>43350</v>
      </c>
      <c r="W38" s="101" t="s">
        <v>1366</v>
      </c>
      <c r="X38" s="101">
        <v>43472</v>
      </c>
      <c r="Y38" s="91" t="s">
        <v>1108</v>
      </c>
      <c r="Z38" s="91" t="s">
        <v>1109</v>
      </c>
      <c r="AA38" s="91" t="s">
        <v>969</v>
      </c>
      <c r="AB38" s="214" t="s">
        <v>1366</v>
      </c>
      <c r="AC38" s="214">
        <v>43472</v>
      </c>
      <c r="AD38" s="91">
        <v>43742</v>
      </c>
      <c r="AE38" s="91" t="s">
        <v>1310</v>
      </c>
      <c r="AF38" s="92" t="s">
        <v>1377</v>
      </c>
      <c r="AG38" s="91" t="s">
        <v>1409</v>
      </c>
      <c r="AH38" s="91" t="s">
        <v>8</v>
      </c>
      <c r="AI38" s="91" t="s">
        <v>1541</v>
      </c>
    </row>
    <row r="39" spans="1:35" ht="34.700000000000003" hidden="1" x14ac:dyDescent="0.25">
      <c r="A39" s="91">
        <v>33</v>
      </c>
      <c r="B39" s="91" t="s">
        <v>8</v>
      </c>
      <c r="C39" s="92" t="s">
        <v>9</v>
      </c>
      <c r="D39" s="92" t="s">
        <v>523</v>
      </c>
      <c r="E39" s="92" t="s">
        <v>534</v>
      </c>
      <c r="F39" s="91">
        <v>1</v>
      </c>
      <c r="G39" s="93">
        <v>37299.18</v>
      </c>
      <c r="H39" s="93">
        <f t="shared" si="6"/>
        <v>37299.18</v>
      </c>
      <c r="I39" s="93">
        <f t="shared" si="7"/>
        <v>45504.999600000003</v>
      </c>
      <c r="J39" s="91">
        <v>1</v>
      </c>
      <c r="K39" s="93">
        <v>29000</v>
      </c>
      <c r="L39" s="93">
        <f t="shared" ref="L39:L42" si="83">J39*K39</f>
        <v>29000</v>
      </c>
      <c r="M39" s="93">
        <f t="shared" ref="M39:M42" si="84">L39*1.22</f>
        <v>35380</v>
      </c>
      <c r="N39" s="91">
        <v>1</v>
      </c>
      <c r="O39" s="93">
        <v>26441.14</v>
      </c>
      <c r="P39" s="93">
        <f t="shared" ref="P39:P41" si="85">N39*O39</f>
        <v>26441.14</v>
      </c>
      <c r="Q39" s="93">
        <f t="shared" ref="Q39:Q41" si="86">P39*1.22</f>
        <v>32258.1908</v>
      </c>
      <c r="R39" s="91">
        <v>2019</v>
      </c>
      <c r="S39" s="93">
        <f t="shared" si="12"/>
        <v>13246.808800000003</v>
      </c>
      <c r="T39" s="213">
        <f t="shared" si="13"/>
        <v>8.8236551724137913E-2</v>
      </c>
      <c r="U39" s="101">
        <v>43325</v>
      </c>
      <c r="V39" s="101">
        <v>43367</v>
      </c>
      <c r="W39" s="101" t="s">
        <v>1371</v>
      </c>
      <c r="X39" s="101">
        <v>43616</v>
      </c>
      <c r="Y39" s="91" t="s">
        <v>1048</v>
      </c>
      <c r="Z39" s="91" t="s">
        <v>1066</v>
      </c>
      <c r="AA39" s="91" t="s">
        <v>1047</v>
      </c>
      <c r="AB39" s="214" t="s">
        <v>1371</v>
      </c>
      <c r="AC39" s="214">
        <v>43616</v>
      </c>
      <c r="AD39" s="91">
        <v>43798</v>
      </c>
      <c r="AE39" s="91" t="s">
        <v>1311</v>
      </c>
      <c r="AF39" s="92" t="s">
        <v>1377</v>
      </c>
      <c r="AG39" s="91" t="s">
        <v>1410</v>
      </c>
      <c r="AH39" s="91" t="s">
        <v>8</v>
      </c>
      <c r="AI39" s="91" t="s">
        <v>1541</v>
      </c>
    </row>
    <row r="40" spans="1:35" ht="320.64999999999998" customHeight="1" x14ac:dyDescent="0.25">
      <c r="A40" s="6">
        <v>34</v>
      </c>
      <c r="B40" s="6" t="s">
        <v>8</v>
      </c>
      <c r="C40" s="5" t="s">
        <v>9</v>
      </c>
      <c r="D40" s="5" t="s">
        <v>523</v>
      </c>
      <c r="E40" s="5" t="s">
        <v>26</v>
      </c>
      <c r="F40" s="6">
        <v>1</v>
      </c>
      <c r="G40" s="7">
        <v>10000</v>
      </c>
      <c r="H40" s="7">
        <f t="shared" si="6"/>
        <v>10000</v>
      </c>
      <c r="I40" s="7">
        <f t="shared" si="7"/>
        <v>12200</v>
      </c>
      <c r="J40" s="6">
        <v>1</v>
      </c>
      <c r="K40" s="7">
        <v>10000</v>
      </c>
      <c r="L40" s="7">
        <f t="shared" ref="L40" si="87">J40*K40</f>
        <v>10000</v>
      </c>
      <c r="M40" s="7">
        <f t="shared" ref="M40" si="88">L40*1.22</f>
        <v>12200</v>
      </c>
      <c r="N40" s="6">
        <v>0</v>
      </c>
      <c r="O40" s="89">
        <v>0</v>
      </c>
      <c r="P40" s="7">
        <f t="shared" si="85"/>
        <v>0</v>
      </c>
      <c r="Q40" s="7">
        <f t="shared" si="86"/>
        <v>0</v>
      </c>
      <c r="R40" s="6">
        <v>2020</v>
      </c>
      <c r="S40" s="7">
        <f t="shared" si="12"/>
        <v>12200</v>
      </c>
      <c r="T40" s="54"/>
      <c r="U40" s="20">
        <v>43306</v>
      </c>
      <c r="V40" s="20">
        <v>43370</v>
      </c>
      <c r="W40" s="6" t="s">
        <v>1279</v>
      </c>
      <c r="X40" s="6" t="s">
        <v>1280</v>
      </c>
      <c r="Y40" s="71" t="s">
        <v>1634</v>
      </c>
      <c r="Z40" s="71" t="s">
        <v>1637</v>
      </c>
      <c r="AA40" s="6" t="s">
        <v>1283</v>
      </c>
      <c r="AB40" s="6" t="s">
        <v>1281</v>
      </c>
      <c r="AC40" s="6"/>
      <c r="AD40" s="6"/>
      <c r="AE40" s="6"/>
      <c r="AF40" s="5"/>
      <c r="AG40" s="5"/>
      <c r="AH40" s="6" t="s">
        <v>1546</v>
      </c>
      <c r="AI40" s="6" t="s">
        <v>1541</v>
      </c>
    </row>
    <row r="41" spans="1:35" ht="11.65" hidden="1" x14ac:dyDescent="0.25">
      <c r="A41" s="91">
        <v>35</v>
      </c>
      <c r="B41" s="91" t="s">
        <v>8</v>
      </c>
      <c r="C41" s="92" t="s">
        <v>9</v>
      </c>
      <c r="D41" s="92" t="s">
        <v>23</v>
      </c>
      <c r="E41" s="92" t="s">
        <v>564</v>
      </c>
      <c r="F41" s="91">
        <v>1</v>
      </c>
      <c r="G41" s="93">
        <v>10000</v>
      </c>
      <c r="H41" s="93">
        <f t="shared" si="6"/>
        <v>10000</v>
      </c>
      <c r="I41" s="93">
        <f t="shared" si="7"/>
        <v>12200</v>
      </c>
      <c r="J41" s="91">
        <v>1</v>
      </c>
      <c r="K41" s="93">
        <v>16000</v>
      </c>
      <c r="L41" s="93">
        <f t="shared" si="83"/>
        <v>16000</v>
      </c>
      <c r="M41" s="93">
        <f t="shared" si="84"/>
        <v>19520</v>
      </c>
      <c r="N41" s="91">
        <v>1</v>
      </c>
      <c r="O41" s="93">
        <v>15950</v>
      </c>
      <c r="P41" s="93">
        <f t="shared" si="85"/>
        <v>15950</v>
      </c>
      <c r="Q41" s="93">
        <f t="shared" si="86"/>
        <v>19459</v>
      </c>
      <c r="R41" s="91">
        <v>2018</v>
      </c>
      <c r="S41" s="93">
        <f t="shared" si="12"/>
        <v>-7259</v>
      </c>
      <c r="T41" s="213">
        <f t="shared" si="13"/>
        <v>3.1250000000000444E-3</v>
      </c>
      <c r="U41" s="101">
        <v>43206</v>
      </c>
      <c r="V41" s="101">
        <v>43220</v>
      </c>
      <c r="W41" s="101">
        <v>43228</v>
      </c>
      <c r="X41" s="101">
        <v>43248</v>
      </c>
      <c r="Y41" s="91" t="s">
        <v>867</v>
      </c>
      <c r="Z41" s="91">
        <v>43249</v>
      </c>
      <c r="AA41" s="91" t="s">
        <v>866</v>
      </c>
      <c r="AB41" s="214" t="s">
        <v>868</v>
      </c>
      <c r="AC41" s="214">
        <v>43271</v>
      </c>
      <c r="AD41" s="91">
        <v>43298</v>
      </c>
      <c r="AE41" s="91" t="s">
        <v>1437</v>
      </c>
      <c r="AF41" s="92" t="s">
        <v>1377</v>
      </c>
      <c r="AG41" s="91" t="s">
        <v>1438</v>
      </c>
      <c r="AH41" s="91" t="s">
        <v>8</v>
      </c>
      <c r="AI41" s="91" t="s">
        <v>1541</v>
      </c>
    </row>
    <row r="42" spans="1:35" ht="23.1" hidden="1" x14ac:dyDescent="0.25">
      <c r="A42" s="91">
        <v>36</v>
      </c>
      <c r="B42" s="91" t="s">
        <v>8</v>
      </c>
      <c r="C42" s="92" t="s">
        <v>9</v>
      </c>
      <c r="D42" s="92" t="s">
        <v>25</v>
      </c>
      <c r="E42" s="92" t="s">
        <v>13</v>
      </c>
      <c r="F42" s="91">
        <v>2</v>
      </c>
      <c r="G42" s="93">
        <v>25000</v>
      </c>
      <c r="H42" s="93">
        <f t="shared" si="6"/>
        <v>50000</v>
      </c>
      <c r="I42" s="93">
        <f t="shared" si="7"/>
        <v>61000</v>
      </c>
      <c r="J42" s="91">
        <v>2</v>
      </c>
      <c r="K42" s="93">
        <v>14500</v>
      </c>
      <c r="L42" s="93">
        <f t="shared" si="83"/>
        <v>29000</v>
      </c>
      <c r="M42" s="93">
        <f t="shared" si="84"/>
        <v>35380</v>
      </c>
      <c r="N42" s="91">
        <v>2</v>
      </c>
      <c r="O42" s="93">
        <v>9520</v>
      </c>
      <c r="P42" s="93">
        <f t="shared" ref="P42" si="89">N42*O42</f>
        <v>19040</v>
      </c>
      <c r="Q42" s="93">
        <f t="shared" ref="Q42" si="90">P42*1.22</f>
        <v>23228.799999999999</v>
      </c>
      <c r="R42" s="91">
        <v>2019</v>
      </c>
      <c r="S42" s="93">
        <f t="shared" si="12"/>
        <v>37771.199999999997</v>
      </c>
      <c r="T42" s="213">
        <f t="shared" si="13"/>
        <v>0.34344827586206894</v>
      </c>
      <c r="U42" s="101">
        <v>43564</v>
      </c>
      <c r="V42" s="101">
        <v>43591</v>
      </c>
      <c r="W42" s="101">
        <v>43634</v>
      </c>
      <c r="X42" s="101">
        <v>43650</v>
      </c>
      <c r="Y42" s="91" t="s">
        <v>1114</v>
      </c>
      <c r="Z42" s="91" t="s">
        <v>1115</v>
      </c>
      <c r="AA42" s="91" t="s">
        <v>994</v>
      </c>
      <c r="AB42" s="214" t="s">
        <v>1084</v>
      </c>
      <c r="AC42" s="214" t="s">
        <v>1116</v>
      </c>
      <c r="AD42" s="91" t="s">
        <v>1117</v>
      </c>
      <c r="AE42" s="91" t="s">
        <v>1312</v>
      </c>
      <c r="AF42" s="92" t="s">
        <v>1377</v>
      </c>
      <c r="AG42" s="91" t="s">
        <v>1411</v>
      </c>
      <c r="AH42" s="91" t="s">
        <v>8</v>
      </c>
      <c r="AI42" s="91" t="s">
        <v>1541</v>
      </c>
    </row>
    <row r="43" spans="1:35" x14ac:dyDescent="0.25">
      <c r="A43" s="6">
        <v>37</v>
      </c>
      <c r="B43" s="6" t="s">
        <v>8</v>
      </c>
      <c r="C43" s="5" t="s">
        <v>9</v>
      </c>
      <c r="D43" s="5" t="s">
        <v>39</v>
      </c>
      <c r="E43" s="5" t="s">
        <v>71</v>
      </c>
      <c r="F43" s="6">
        <v>1</v>
      </c>
      <c r="G43" s="7">
        <v>250000</v>
      </c>
      <c r="H43" s="7">
        <f t="shared" si="6"/>
        <v>250000</v>
      </c>
      <c r="I43" s="7">
        <f t="shared" si="7"/>
        <v>305000</v>
      </c>
      <c r="J43" s="6">
        <v>1</v>
      </c>
      <c r="K43" s="7">
        <v>221000</v>
      </c>
      <c r="L43" s="7">
        <f t="shared" ref="L43:L44" si="91">J43*K43</f>
        <v>221000</v>
      </c>
      <c r="M43" s="7">
        <f t="shared" ref="M43:M44" si="92">L43*1.22</f>
        <v>269620</v>
      </c>
      <c r="N43" s="6">
        <v>1</v>
      </c>
      <c r="O43" s="7">
        <v>164900</v>
      </c>
      <c r="P43" s="7">
        <f t="shared" ref="P43" si="93">N43*O43</f>
        <v>164900</v>
      </c>
      <c r="Q43" s="7">
        <f t="shared" ref="Q43" si="94">P43*1.22</f>
        <v>201178</v>
      </c>
      <c r="R43" s="6">
        <v>2019</v>
      </c>
      <c r="S43" s="7">
        <f t="shared" si="12"/>
        <v>103822</v>
      </c>
      <c r="T43" s="54">
        <f t="shared" si="13"/>
        <v>0.25384615384615383</v>
      </c>
      <c r="U43" s="20">
        <v>43283</v>
      </c>
      <c r="V43" s="20">
        <v>43297</v>
      </c>
      <c r="W43" s="20">
        <v>43500</v>
      </c>
      <c r="X43" s="20">
        <v>43519</v>
      </c>
      <c r="Y43" s="6" t="s">
        <v>1251</v>
      </c>
      <c r="Z43" s="6" t="s">
        <v>1611</v>
      </c>
      <c r="AA43" s="71" t="s">
        <v>1891</v>
      </c>
      <c r="AB43" s="6" t="s">
        <v>1360</v>
      </c>
      <c r="AC43" s="20" t="s">
        <v>1661</v>
      </c>
      <c r="AD43" s="6" t="s">
        <v>1641</v>
      </c>
      <c r="AE43" s="6"/>
      <c r="AF43" s="5"/>
      <c r="AG43" s="5"/>
      <c r="AH43" s="6" t="s">
        <v>1546</v>
      </c>
      <c r="AI43" s="6" t="s">
        <v>1555</v>
      </c>
    </row>
    <row r="44" spans="1:35" ht="11.65" hidden="1" x14ac:dyDescent="0.25">
      <c r="A44" s="6">
        <v>38</v>
      </c>
      <c r="B44" s="6" t="s">
        <v>8</v>
      </c>
      <c r="C44" s="5" t="s">
        <v>9</v>
      </c>
      <c r="D44" s="5" t="s">
        <v>39</v>
      </c>
      <c r="E44" s="5" t="s">
        <v>211</v>
      </c>
      <c r="F44" s="6">
        <v>1</v>
      </c>
      <c r="G44" s="7">
        <v>150000</v>
      </c>
      <c r="H44" s="7">
        <f t="shared" si="6"/>
        <v>150000</v>
      </c>
      <c r="I44" s="7">
        <f t="shared" si="7"/>
        <v>183000</v>
      </c>
      <c r="J44" s="6">
        <v>1</v>
      </c>
      <c r="K44" s="7">
        <v>129000</v>
      </c>
      <c r="L44" s="7">
        <f t="shared" si="91"/>
        <v>129000</v>
      </c>
      <c r="M44" s="7">
        <f t="shared" si="92"/>
        <v>157380</v>
      </c>
      <c r="N44" s="6"/>
      <c r="O44" s="6"/>
      <c r="P44" s="6"/>
      <c r="Q44" s="6"/>
      <c r="R44" s="6"/>
      <c r="S44" s="7"/>
      <c r="T44" s="54">
        <f t="shared" si="13"/>
        <v>1</v>
      </c>
      <c r="U44" s="6"/>
      <c r="V44" s="6"/>
      <c r="W44" s="6"/>
      <c r="X44" s="6"/>
      <c r="Y44" s="6"/>
      <c r="Z44" s="6"/>
      <c r="AA44" s="6"/>
      <c r="AB44" s="6"/>
      <c r="AC44" s="6"/>
      <c r="AD44" s="6"/>
      <c r="AE44" s="6"/>
      <c r="AF44" s="5"/>
      <c r="AG44" s="5"/>
      <c r="AH44" s="6" t="s">
        <v>8</v>
      </c>
      <c r="AI44" s="6" t="s">
        <v>1556</v>
      </c>
    </row>
    <row r="45" spans="1:35" ht="11.65" hidden="1" x14ac:dyDescent="0.25">
      <c r="A45" s="91">
        <v>39</v>
      </c>
      <c r="B45" s="91" t="s">
        <v>8</v>
      </c>
      <c r="C45" s="92" t="s">
        <v>9</v>
      </c>
      <c r="D45" s="92" t="s">
        <v>39</v>
      </c>
      <c r="E45" s="92" t="s">
        <v>562</v>
      </c>
      <c r="F45" s="91">
        <v>1</v>
      </c>
      <c r="G45" s="93">
        <v>16200</v>
      </c>
      <c r="H45" s="93">
        <f t="shared" si="6"/>
        <v>16200</v>
      </c>
      <c r="I45" s="93">
        <f t="shared" si="7"/>
        <v>19764</v>
      </c>
      <c r="J45" s="91">
        <v>1</v>
      </c>
      <c r="K45" s="93">
        <v>30000</v>
      </c>
      <c r="L45" s="93">
        <f t="shared" ref="L45:L46" si="95">J45*K45</f>
        <v>30000</v>
      </c>
      <c r="M45" s="93">
        <f t="shared" ref="M45:M46" si="96">L45*1.22</f>
        <v>36600</v>
      </c>
      <c r="N45" s="91">
        <v>1</v>
      </c>
      <c r="O45" s="93">
        <v>22997.67</v>
      </c>
      <c r="P45" s="93">
        <f t="shared" ref="P45:P46" si="97">N45*O45</f>
        <v>22997.67</v>
      </c>
      <c r="Q45" s="93">
        <f t="shared" ref="Q45:Q46" si="98">P45*1.22</f>
        <v>28057.157399999996</v>
      </c>
      <c r="R45" s="91">
        <v>2019</v>
      </c>
      <c r="S45" s="93">
        <f t="shared" si="12"/>
        <v>-8293.1573999999964</v>
      </c>
      <c r="T45" s="213">
        <f t="shared" si="13"/>
        <v>0.23341100000000015</v>
      </c>
      <c r="U45" s="101">
        <v>43377</v>
      </c>
      <c r="V45" s="101">
        <v>43391</v>
      </c>
      <c r="W45" s="101">
        <v>43515</v>
      </c>
      <c r="X45" s="101">
        <v>43557</v>
      </c>
      <c r="Y45" s="91" t="s">
        <v>1313</v>
      </c>
      <c r="Z45" s="91" t="s">
        <v>1314</v>
      </c>
      <c r="AA45" s="91" t="s">
        <v>1008</v>
      </c>
      <c r="AB45" s="214" t="s">
        <v>1009</v>
      </c>
      <c r="AC45" s="214">
        <v>43612</v>
      </c>
      <c r="AD45" s="91">
        <v>43612</v>
      </c>
      <c r="AE45" s="91" t="s">
        <v>1315</v>
      </c>
      <c r="AF45" s="92" t="s">
        <v>1377</v>
      </c>
      <c r="AG45" s="91" t="s">
        <v>1412</v>
      </c>
      <c r="AH45" s="91" t="s">
        <v>8</v>
      </c>
      <c r="AI45" s="91" t="s">
        <v>1541</v>
      </c>
    </row>
    <row r="46" spans="1:35" ht="23.1" hidden="1" x14ac:dyDescent="0.25">
      <c r="A46" s="91">
        <v>40</v>
      </c>
      <c r="B46" s="91" t="s">
        <v>8</v>
      </c>
      <c r="C46" s="92" t="s">
        <v>9</v>
      </c>
      <c r="D46" s="92" t="s">
        <v>508</v>
      </c>
      <c r="E46" s="92" t="s">
        <v>509</v>
      </c>
      <c r="F46" s="91">
        <v>1</v>
      </c>
      <c r="G46" s="93">
        <v>15000</v>
      </c>
      <c r="H46" s="93">
        <f t="shared" si="6"/>
        <v>15000</v>
      </c>
      <c r="I46" s="93">
        <f t="shared" si="7"/>
        <v>18300</v>
      </c>
      <c r="J46" s="91">
        <v>1</v>
      </c>
      <c r="K46" s="93">
        <v>15000</v>
      </c>
      <c r="L46" s="93">
        <f t="shared" si="95"/>
        <v>15000</v>
      </c>
      <c r="M46" s="93">
        <f t="shared" si="96"/>
        <v>18300</v>
      </c>
      <c r="N46" s="91">
        <v>1</v>
      </c>
      <c r="O46" s="93">
        <v>12825</v>
      </c>
      <c r="P46" s="93">
        <f t="shared" si="97"/>
        <v>12825</v>
      </c>
      <c r="Q46" s="93">
        <f t="shared" si="98"/>
        <v>15646.5</v>
      </c>
      <c r="R46" s="91">
        <v>2019</v>
      </c>
      <c r="S46" s="93">
        <f t="shared" si="12"/>
        <v>2653.5</v>
      </c>
      <c r="T46" s="213">
        <f t="shared" si="13"/>
        <v>0.14500000000000002</v>
      </c>
      <c r="U46" s="101" t="s">
        <v>1015</v>
      </c>
      <c r="V46" s="101" t="s">
        <v>1016</v>
      </c>
      <c r="W46" s="101">
        <v>43431</v>
      </c>
      <c r="X46" s="101">
        <v>43446</v>
      </c>
      <c r="Y46" s="91" t="s">
        <v>1018</v>
      </c>
      <c r="Z46" s="91"/>
      <c r="AA46" s="91" t="s">
        <v>1017</v>
      </c>
      <c r="AB46" s="214" t="s">
        <v>1367</v>
      </c>
      <c r="AC46" s="214">
        <v>43539</v>
      </c>
      <c r="AD46" s="91">
        <v>43545</v>
      </c>
      <c r="AE46" s="91" t="s">
        <v>1069</v>
      </c>
      <c r="AF46" s="92" t="s">
        <v>1377</v>
      </c>
      <c r="AG46" s="91" t="s">
        <v>1413</v>
      </c>
      <c r="AH46" s="91" t="s">
        <v>8</v>
      </c>
      <c r="AI46" s="91" t="s">
        <v>1541</v>
      </c>
    </row>
    <row r="47" spans="1:35" ht="23.1" hidden="1" x14ac:dyDescent="0.25">
      <c r="A47" s="91">
        <v>41</v>
      </c>
      <c r="B47" s="91" t="s">
        <v>8</v>
      </c>
      <c r="C47" s="92" t="s">
        <v>9</v>
      </c>
      <c r="D47" s="92" t="s">
        <v>28</v>
      </c>
      <c r="E47" s="92" t="s">
        <v>13</v>
      </c>
      <c r="F47" s="91">
        <v>12</v>
      </c>
      <c r="G47" s="93">
        <v>10000</v>
      </c>
      <c r="H47" s="93">
        <f t="shared" si="6"/>
        <v>120000</v>
      </c>
      <c r="I47" s="93">
        <f t="shared" si="7"/>
        <v>146400</v>
      </c>
      <c r="J47" s="91">
        <v>12</v>
      </c>
      <c r="K47" s="93">
        <v>9000</v>
      </c>
      <c r="L47" s="93">
        <f t="shared" ref="L47:L48" si="99">J47*K47</f>
        <v>108000</v>
      </c>
      <c r="M47" s="93">
        <f t="shared" ref="M47:M48" si="100">L47*1.22</f>
        <v>131760</v>
      </c>
      <c r="N47" s="91">
        <v>12</v>
      </c>
      <c r="O47" s="93">
        <v>9520</v>
      </c>
      <c r="P47" s="93">
        <f t="shared" ref="P47" si="101">N47*O47</f>
        <v>114240</v>
      </c>
      <c r="Q47" s="93">
        <f t="shared" ref="Q47" si="102">P47*1.22</f>
        <v>139372.79999999999</v>
      </c>
      <c r="R47" s="91">
        <v>2019</v>
      </c>
      <c r="S47" s="93">
        <f t="shared" si="12"/>
        <v>7027.2000000000116</v>
      </c>
      <c r="T47" s="213">
        <f t="shared" si="13"/>
        <v>-5.7777777777777706E-2</v>
      </c>
      <c r="U47" s="101">
        <v>43564</v>
      </c>
      <c r="V47" s="101">
        <v>43591</v>
      </c>
      <c r="W47" s="101">
        <v>43634</v>
      </c>
      <c r="X47" s="101">
        <v>43650</v>
      </c>
      <c r="Y47" s="91" t="s">
        <v>1114</v>
      </c>
      <c r="Z47" s="91" t="s">
        <v>1115</v>
      </c>
      <c r="AA47" s="91" t="s">
        <v>994</v>
      </c>
      <c r="AB47" s="214" t="s">
        <v>1084</v>
      </c>
      <c r="AC47" s="214" t="s">
        <v>1116</v>
      </c>
      <c r="AD47" s="91" t="s">
        <v>1117</v>
      </c>
      <c r="AE47" s="91" t="s">
        <v>1312</v>
      </c>
      <c r="AF47" s="92" t="s">
        <v>1377</v>
      </c>
      <c r="AG47" s="91" t="s">
        <v>1411</v>
      </c>
      <c r="AH47" s="91" t="s">
        <v>8</v>
      </c>
      <c r="AI47" s="91" t="s">
        <v>1541</v>
      </c>
    </row>
    <row r="48" spans="1:35" ht="24" x14ac:dyDescent="0.25">
      <c r="A48" s="91">
        <v>42</v>
      </c>
      <c r="B48" s="91" t="s">
        <v>8</v>
      </c>
      <c r="C48" s="92" t="s">
        <v>9</v>
      </c>
      <c r="D48" s="92" t="s">
        <v>28</v>
      </c>
      <c r="E48" s="92" t="s">
        <v>29</v>
      </c>
      <c r="F48" s="91">
        <v>9</v>
      </c>
      <c r="G48" s="93">
        <v>61850</v>
      </c>
      <c r="H48" s="93">
        <f t="shared" si="6"/>
        <v>556650</v>
      </c>
      <c r="I48" s="93">
        <f t="shared" si="7"/>
        <v>679113</v>
      </c>
      <c r="J48" s="91">
        <v>9</v>
      </c>
      <c r="K48" s="93">
        <v>61850</v>
      </c>
      <c r="L48" s="93">
        <f t="shared" si="99"/>
        <v>556650</v>
      </c>
      <c r="M48" s="93">
        <f t="shared" si="100"/>
        <v>679113</v>
      </c>
      <c r="N48" s="91">
        <v>9</v>
      </c>
      <c r="O48" s="93">
        <f>(65120+60820+63100+59720+59450+55520+98020+2*37525)/9</f>
        <v>59644.444444444445</v>
      </c>
      <c r="P48" s="93">
        <f t="shared" ref="P48" si="103">N48*O48</f>
        <v>536800</v>
      </c>
      <c r="Q48" s="93">
        <f t="shared" ref="Q48" si="104">P48*1.22</f>
        <v>654896</v>
      </c>
      <c r="R48" s="91">
        <v>2019</v>
      </c>
      <c r="S48" s="93">
        <f t="shared" si="12"/>
        <v>24217</v>
      </c>
      <c r="T48" s="213">
        <f t="shared" si="13"/>
        <v>3.5659750291924919E-2</v>
      </c>
      <c r="U48" s="101">
        <v>43224</v>
      </c>
      <c r="V48" s="101" t="s">
        <v>997</v>
      </c>
      <c r="W48" s="101">
        <v>43493</v>
      </c>
      <c r="X48" s="101">
        <v>43513</v>
      </c>
      <c r="Y48" s="91" t="s">
        <v>1317</v>
      </c>
      <c r="Z48" s="91"/>
      <c r="AA48" s="91" t="s">
        <v>999</v>
      </c>
      <c r="AB48" s="214" t="s">
        <v>1368</v>
      </c>
      <c r="AC48" s="214">
        <v>43608</v>
      </c>
      <c r="AD48" s="91" t="s">
        <v>1053</v>
      </c>
      <c r="AE48" s="91" t="s">
        <v>1373</v>
      </c>
      <c r="AF48" s="92" t="s">
        <v>1377</v>
      </c>
      <c r="AG48" s="91" t="s">
        <v>1414</v>
      </c>
      <c r="AH48" s="91" t="s">
        <v>1546</v>
      </c>
      <c r="AI48" s="91" t="s">
        <v>1541</v>
      </c>
    </row>
    <row r="49" spans="1:35" ht="11.65" hidden="1" x14ac:dyDescent="0.25">
      <c r="A49" s="6">
        <v>43</v>
      </c>
      <c r="B49" s="6" t="s">
        <v>8</v>
      </c>
      <c r="C49" s="5" t="s">
        <v>9</v>
      </c>
      <c r="D49" s="5" t="s">
        <v>28</v>
      </c>
      <c r="E49" s="5" t="s">
        <v>212</v>
      </c>
      <c r="F49" s="6">
        <v>1</v>
      </c>
      <c r="G49" s="7">
        <v>15000</v>
      </c>
      <c r="H49" s="7">
        <f t="shared" si="6"/>
        <v>15000</v>
      </c>
      <c r="I49" s="7">
        <f t="shared" si="7"/>
        <v>18300</v>
      </c>
      <c r="J49" s="6"/>
      <c r="K49" s="7"/>
      <c r="L49" s="7"/>
      <c r="M49" s="7"/>
      <c r="N49" s="6"/>
      <c r="O49" s="6"/>
      <c r="P49" s="6"/>
      <c r="Q49" s="6"/>
      <c r="R49" s="6"/>
      <c r="S49" s="7">
        <f t="shared" si="12"/>
        <v>18300</v>
      </c>
      <c r="T49" s="54" t="e">
        <f t="shared" si="13"/>
        <v>#DIV/0!</v>
      </c>
      <c r="U49" s="6"/>
      <c r="V49" s="6"/>
      <c r="W49" s="6"/>
      <c r="X49" s="6"/>
      <c r="Y49" s="6"/>
      <c r="Z49" s="6"/>
      <c r="AA49" s="6"/>
      <c r="AB49" s="6"/>
      <c r="AC49" s="6"/>
      <c r="AD49" s="6"/>
      <c r="AE49" s="6"/>
      <c r="AF49" s="5"/>
      <c r="AG49" s="5"/>
      <c r="AH49" s="6" t="s">
        <v>8</v>
      </c>
      <c r="AI49" s="6" t="s">
        <v>1559</v>
      </c>
    </row>
    <row r="50" spans="1:35" ht="23.1" hidden="1" x14ac:dyDescent="0.25">
      <c r="A50" s="91">
        <v>44</v>
      </c>
      <c r="B50" s="91" t="s">
        <v>8</v>
      </c>
      <c r="C50" s="92" t="s">
        <v>9</v>
      </c>
      <c r="D50" s="92" t="s">
        <v>28</v>
      </c>
      <c r="E50" s="92" t="s">
        <v>213</v>
      </c>
      <c r="F50" s="91">
        <v>1</v>
      </c>
      <c r="G50" s="93">
        <v>130000</v>
      </c>
      <c r="H50" s="93">
        <f t="shared" si="6"/>
        <v>130000</v>
      </c>
      <c r="I50" s="93">
        <f t="shared" si="7"/>
        <v>158600</v>
      </c>
      <c r="J50" s="91">
        <v>1</v>
      </c>
      <c r="K50" s="93">
        <v>130000</v>
      </c>
      <c r="L50" s="93">
        <f t="shared" ref="L50" si="105">J50*K50</f>
        <v>130000</v>
      </c>
      <c r="M50" s="93">
        <f t="shared" ref="M50" si="106">L50*1.22</f>
        <v>158600</v>
      </c>
      <c r="N50" s="91">
        <v>1</v>
      </c>
      <c r="O50" s="93">
        <v>116800</v>
      </c>
      <c r="P50" s="93">
        <f t="shared" ref="P50:P53" si="107">N50*O50</f>
        <v>116800</v>
      </c>
      <c r="Q50" s="93">
        <f>P50*1.22</f>
        <v>142496</v>
      </c>
      <c r="R50" s="91">
        <v>2018</v>
      </c>
      <c r="S50" s="93">
        <f t="shared" si="12"/>
        <v>16104</v>
      </c>
      <c r="T50" s="213">
        <f t="shared" si="13"/>
        <v>0.10153846153846158</v>
      </c>
      <c r="U50" s="101">
        <v>43286</v>
      </c>
      <c r="V50" s="101">
        <v>43301</v>
      </c>
      <c r="W50" s="101">
        <v>43350</v>
      </c>
      <c r="X50" s="101">
        <v>43360</v>
      </c>
      <c r="Y50" s="91" t="s">
        <v>989</v>
      </c>
      <c r="Z50" s="91" t="s">
        <v>1131</v>
      </c>
      <c r="AA50" s="91" t="s">
        <v>990</v>
      </c>
      <c r="AB50" s="214" t="s">
        <v>1359</v>
      </c>
      <c r="AC50" s="214">
        <v>43446</v>
      </c>
      <c r="AD50" s="91" t="s">
        <v>1049</v>
      </c>
      <c r="AE50" s="91" t="s">
        <v>1056</v>
      </c>
      <c r="AF50" s="92" t="s">
        <v>1377</v>
      </c>
      <c r="AG50" s="91" t="s">
        <v>1415</v>
      </c>
      <c r="AH50" s="91" t="s">
        <v>8</v>
      </c>
      <c r="AI50" s="91" t="s">
        <v>1541</v>
      </c>
    </row>
    <row r="51" spans="1:35" ht="11.65" hidden="1" x14ac:dyDescent="0.25">
      <c r="A51" s="91">
        <v>45</v>
      </c>
      <c r="B51" s="91" t="s">
        <v>8</v>
      </c>
      <c r="C51" s="92" t="s">
        <v>9</v>
      </c>
      <c r="D51" s="92" t="s">
        <v>28</v>
      </c>
      <c r="E51" s="92" t="s">
        <v>516</v>
      </c>
      <c r="F51" s="91">
        <v>1</v>
      </c>
      <c r="G51" s="93">
        <v>30000</v>
      </c>
      <c r="H51" s="93">
        <f t="shared" si="6"/>
        <v>30000</v>
      </c>
      <c r="I51" s="93">
        <f t="shared" si="7"/>
        <v>36600</v>
      </c>
      <c r="J51" s="91">
        <v>1</v>
      </c>
      <c r="K51" s="93">
        <v>43000</v>
      </c>
      <c r="L51" s="93">
        <f t="shared" ref="L51" si="108">J51*K51</f>
        <v>43000</v>
      </c>
      <c r="M51" s="93">
        <f t="shared" ref="M51" si="109">L51*1.22</f>
        <v>52460</v>
      </c>
      <c r="N51" s="91">
        <v>1</v>
      </c>
      <c r="O51" s="93">
        <v>42500</v>
      </c>
      <c r="P51" s="93">
        <f t="shared" si="107"/>
        <v>42500</v>
      </c>
      <c r="Q51" s="93">
        <f>P51*1.22</f>
        <v>51850</v>
      </c>
      <c r="R51" s="91">
        <v>2019</v>
      </c>
      <c r="S51" s="93">
        <f t="shared" si="12"/>
        <v>-15250</v>
      </c>
      <c r="T51" s="213">
        <f t="shared" si="13"/>
        <v>1.1627906976744207E-2</v>
      </c>
      <c r="U51" s="101">
        <v>43406</v>
      </c>
      <c r="V51" s="101">
        <v>43418</v>
      </c>
      <c r="W51" s="101">
        <v>43510</v>
      </c>
      <c r="X51" s="101">
        <v>43557</v>
      </c>
      <c r="Y51" s="91" t="s">
        <v>1050</v>
      </c>
      <c r="Z51" s="91" t="s">
        <v>1067</v>
      </c>
      <c r="AA51" s="91" t="s">
        <v>1081</v>
      </c>
      <c r="AB51" s="214" t="s">
        <v>1372</v>
      </c>
      <c r="AC51" s="214">
        <v>43598</v>
      </c>
      <c r="AD51" s="91">
        <v>43598</v>
      </c>
      <c r="AE51" s="91" t="s">
        <v>1080</v>
      </c>
      <c r="AF51" s="92" t="s">
        <v>1377</v>
      </c>
      <c r="AG51" s="91" t="s">
        <v>1416</v>
      </c>
      <c r="AH51" s="91" t="s">
        <v>8</v>
      </c>
      <c r="AI51" s="91" t="s">
        <v>1541</v>
      </c>
    </row>
    <row r="52" spans="1:35" ht="24" x14ac:dyDescent="0.25">
      <c r="A52" s="91" t="s">
        <v>1203</v>
      </c>
      <c r="B52" s="91" t="s">
        <v>8</v>
      </c>
      <c r="C52" s="92" t="s">
        <v>9</v>
      </c>
      <c r="D52" s="92" t="s">
        <v>28</v>
      </c>
      <c r="E52" s="92" t="s">
        <v>214</v>
      </c>
      <c r="F52" s="91">
        <v>7</v>
      </c>
      <c r="G52" s="93">
        <v>30000</v>
      </c>
      <c r="H52" s="93">
        <f t="shared" si="6"/>
        <v>210000</v>
      </c>
      <c r="I52" s="93">
        <f t="shared" si="7"/>
        <v>256200</v>
      </c>
      <c r="J52" s="91">
        <v>7</v>
      </c>
      <c r="K52" s="93">
        <f>(30000*7+313)/7</f>
        <v>30044.714285714286</v>
      </c>
      <c r="L52" s="93">
        <f t="shared" ref="L52:L54" si="110">J52*K52</f>
        <v>210313</v>
      </c>
      <c r="M52" s="93">
        <f t="shared" ref="M52:M54" si="111">L52*1.22</f>
        <v>256581.86</v>
      </c>
      <c r="N52" s="91">
        <v>7</v>
      </c>
      <c r="O52" s="93">
        <f>(171643.36+313)/7</f>
        <v>24565.194285714282</v>
      </c>
      <c r="P52" s="93">
        <f t="shared" si="107"/>
        <v>171956.36</v>
      </c>
      <c r="Q52" s="93">
        <f t="shared" ref="Q52:Q53" si="112">P52*1.22</f>
        <v>209786.75919999997</v>
      </c>
      <c r="R52" s="91">
        <v>2019</v>
      </c>
      <c r="S52" s="93">
        <f>I52-Q52</f>
        <v>46413.240800000029</v>
      </c>
      <c r="T52" s="213">
        <f t="shared" si="13"/>
        <v>0.1823788353549235</v>
      </c>
      <c r="U52" s="101">
        <v>43321</v>
      </c>
      <c r="V52" s="101" t="s">
        <v>995</v>
      </c>
      <c r="W52" s="101">
        <v>43767</v>
      </c>
      <c r="X52" s="101">
        <v>43774</v>
      </c>
      <c r="Y52" s="91" t="s">
        <v>1318</v>
      </c>
      <c r="Z52" s="91" t="s">
        <v>1207</v>
      </c>
      <c r="AA52" s="91" t="s">
        <v>1206</v>
      </c>
      <c r="AB52" s="214" t="s">
        <v>1362</v>
      </c>
      <c r="AC52" s="214">
        <v>43951</v>
      </c>
      <c r="AD52" s="91">
        <v>43967</v>
      </c>
      <c r="AE52" s="91" t="s">
        <v>1253</v>
      </c>
      <c r="AF52" s="92" t="s">
        <v>1377</v>
      </c>
      <c r="AG52" s="91" t="s">
        <v>1417</v>
      </c>
      <c r="AH52" s="91" t="s">
        <v>1546</v>
      </c>
      <c r="AI52" s="91" t="s">
        <v>1541</v>
      </c>
    </row>
    <row r="53" spans="1:35" ht="48" x14ac:dyDescent="0.25">
      <c r="A53" s="91" t="s">
        <v>1204</v>
      </c>
      <c r="B53" s="91" t="s">
        <v>8</v>
      </c>
      <c r="C53" s="92" t="s">
        <v>9</v>
      </c>
      <c r="D53" s="92" t="s">
        <v>28</v>
      </c>
      <c r="E53" s="92" t="s">
        <v>214</v>
      </c>
      <c r="F53" s="91">
        <v>3</v>
      </c>
      <c r="G53" s="93">
        <v>30000</v>
      </c>
      <c r="H53" s="93">
        <f t="shared" si="6"/>
        <v>90000</v>
      </c>
      <c r="I53" s="93">
        <f t="shared" si="7"/>
        <v>109800</v>
      </c>
      <c r="J53" s="91">
        <v>9</v>
      </c>
      <c r="K53" s="93">
        <f>(68000+102)/9</f>
        <v>7566.8888888888887</v>
      </c>
      <c r="L53" s="93">
        <f t="shared" si="110"/>
        <v>68102</v>
      </c>
      <c r="M53" s="93">
        <f t="shared" si="111"/>
        <v>83084.44</v>
      </c>
      <c r="N53" s="91">
        <v>9</v>
      </c>
      <c r="O53" s="93">
        <f>(54288+102)/9</f>
        <v>6043.333333333333</v>
      </c>
      <c r="P53" s="93">
        <f t="shared" si="107"/>
        <v>54390</v>
      </c>
      <c r="Q53" s="93">
        <f t="shared" si="112"/>
        <v>66355.8</v>
      </c>
      <c r="R53" s="91">
        <v>2019</v>
      </c>
      <c r="S53" s="93">
        <f>I53-Q53</f>
        <v>43444.2</v>
      </c>
      <c r="T53" s="213">
        <f t="shared" si="13"/>
        <v>0.20134504126163699</v>
      </c>
      <c r="U53" s="101">
        <v>43321</v>
      </c>
      <c r="V53" s="101" t="s">
        <v>995</v>
      </c>
      <c r="W53" s="101">
        <v>43767</v>
      </c>
      <c r="X53" s="101">
        <v>43774</v>
      </c>
      <c r="Y53" s="91" t="s">
        <v>1316</v>
      </c>
      <c r="Z53" s="91" t="s">
        <v>1208</v>
      </c>
      <c r="AA53" s="91" t="s">
        <v>1205</v>
      </c>
      <c r="AB53" s="214" t="s">
        <v>1362</v>
      </c>
      <c r="AC53" s="214" t="s">
        <v>1272</v>
      </c>
      <c r="AD53" s="91" t="s">
        <v>1271</v>
      </c>
      <c r="AE53" s="91" t="s">
        <v>1307</v>
      </c>
      <c r="AF53" s="92" t="s">
        <v>1377</v>
      </c>
      <c r="AG53" s="91" t="s">
        <v>1418</v>
      </c>
      <c r="AH53" s="91" t="s">
        <v>1546</v>
      </c>
      <c r="AI53" s="91" t="s">
        <v>1541</v>
      </c>
    </row>
    <row r="54" spans="1:35" ht="24" x14ac:dyDescent="0.25">
      <c r="A54" s="91">
        <v>47</v>
      </c>
      <c r="B54" s="91" t="s">
        <v>8</v>
      </c>
      <c r="C54" s="92" t="s">
        <v>9</v>
      </c>
      <c r="D54" s="92" t="s">
        <v>28</v>
      </c>
      <c r="E54" s="92" t="s">
        <v>30</v>
      </c>
      <c r="F54" s="91">
        <v>10</v>
      </c>
      <c r="G54" s="93">
        <v>36000</v>
      </c>
      <c r="H54" s="93">
        <f t="shared" si="6"/>
        <v>360000</v>
      </c>
      <c r="I54" s="93">
        <f t="shared" si="7"/>
        <v>439200</v>
      </c>
      <c r="J54" s="91">
        <v>10</v>
      </c>
      <c r="K54" s="93">
        <v>36000</v>
      </c>
      <c r="L54" s="93">
        <f t="shared" si="110"/>
        <v>360000</v>
      </c>
      <c r="M54" s="93">
        <f t="shared" si="111"/>
        <v>439200</v>
      </c>
      <c r="N54" s="91">
        <v>10</v>
      </c>
      <c r="O54" s="93">
        <v>35980</v>
      </c>
      <c r="P54" s="93">
        <f t="shared" ref="P54" si="113">N54*O54</f>
        <v>359800</v>
      </c>
      <c r="Q54" s="93">
        <f t="shared" ref="Q54" si="114">P54*1.22</f>
        <v>438956</v>
      </c>
      <c r="R54" s="91">
        <v>2019</v>
      </c>
      <c r="S54" s="93">
        <f t="shared" si="12"/>
        <v>244</v>
      </c>
      <c r="T54" s="213">
        <f t="shared" si="13"/>
        <v>5.5555555555553138E-4</v>
      </c>
      <c r="U54" s="101">
        <v>43224</v>
      </c>
      <c r="V54" s="101" t="s">
        <v>997</v>
      </c>
      <c r="W54" s="101">
        <v>43493</v>
      </c>
      <c r="X54" s="101">
        <v>43513</v>
      </c>
      <c r="Y54" s="91" t="s">
        <v>1320</v>
      </c>
      <c r="Z54" s="91" t="s">
        <v>1321</v>
      </c>
      <c r="AA54" s="91" t="s">
        <v>998</v>
      </c>
      <c r="AB54" s="214" t="s">
        <v>1368</v>
      </c>
      <c r="AC54" s="214" t="s">
        <v>1322</v>
      </c>
      <c r="AD54" s="91" t="s">
        <v>1323</v>
      </c>
      <c r="AE54" s="91" t="s">
        <v>1324</v>
      </c>
      <c r="AF54" s="92" t="s">
        <v>1377</v>
      </c>
      <c r="AG54" s="91" t="s">
        <v>1426</v>
      </c>
      <c r="AH54" s="91" t="s">
        <v>1546</v>
      </c>
      <c r="AI54" s="91" t="s">
        <v>1541</v>
      </c>
    </row>
    <row r="55" spans="1:35" ht="36" x14ac:dyDescent="0.25">
      <c r="A55" s="91">
        <v>48</v>
      </c>
      <c r="B55" s="91" t="s">
        <v>8</v>
      </c>
      <c r="C55" s="92" t="s">
        <v>9</v>
      </c>
      <c r="D55" s="92" t="s">
        <v>28</v>
      </c>
      <c r="E55" s="92" t="s">
        <v>233</v>
      </c>
      <c r="F55" s="91">
        <v>1</v>
      </c>
      <c r="G55" s="93">
        <v>94500</v>
      </c>
      <c r="H55" s="93">
        <f t="shared" si="6"/>
        <v>94500</v>
      </c>
      <c r="I55" s="93">
        <f t="shared" si="7"/>
        <v>115290</v>
      </c>
      <c r="J55" s="91">
        <v>1</v>
      </c>
      <c r="K55" s="93">
        <v>95000</v>
      </c>
      <c r="L55" s="93">
        <f t="shared" ref="L55:L56" si="115">J55*K55</f>
        <v>95000</v>
      </c>
      <c r="M55" s="93">
        <f t="shared" ref="M55:M56" si="116">L55*1.22</f>
        <v>115900</v>
      </c>
      <c r="N55" s="91">
        <v>1</v>
      </c>
      <c r="O55" s="93">
        <v>86262.399999999994</v>
      </c>
      <c r="P55" s="93">
        <f>N55*O55</f>
        <v>86262.399999999994</v>
      </c>
      <c r="Q55" s="93">
        <f>P55*1.22</f>
        <v>105240.128</v>
      </c>
      <c r="R55" s="91">
        <v>2019</v>
      </c>
      <c r="S55" s="93">
        <f t="shared" si="12"/>
        <v>10049.872000000003</v>
      </c>
      <c r="T55" s="213">
        <f t="shared" si="13"/>
        <v>9.1974736842105331E-2</v>
      </c>
      <c r="U55" s="101">
        <v>43248</v>
      </c>
      <c r="V55" s="101">
        <v>43283</v>
      </c>
      <c r="W55" s="101">
        <v>43514</v>
      </c>
      <c r="X55" s="101">
        <v>43559</v>
      </c>
      <c r="Y55" s="91" t="s">
        <v>1319</v>
      </c>
      <c r="Z55" s="91" t="s">
        <v>1179</v>
      </c>
      <c r="AA55" s="91" t="s">
        <v>1183</v>
      </c>
      <c r="AB55" s="214" t="s">
        <v>1001</v>
      </c>
      <c r="AC55" s="214">
        <v>43756</v>
      </c>
      <c r="AD55" s="91">
        <v>43775</v>
      </c>
      <c r="AE55" s="91" t="s">
        <v>1528</v>
      </c>
      <c r="AF55" s="92" t="s">
        <v>1377</v>
      </c>
      <c r="AG55" s="91" t="s">
        <v>1529</v>
      </c>
      <c r="AH55" s="91" t="s">
        <v>1546</v>
      </c>
      <c r="AI55" s="91" t="s">
        <v>1541</v>
      </c>
    </row>
    <row r="56" spans="1:35" ht="29.25" customHeight="1" x14ac:dyDescent="0.25">
      <c r="A56" s="6">
        <v>49</v>
      </c>
      <c r="B56" s="6" t="s">
        <v>8</v>
      </c>
      <c r="C56" s="73" t="s">
        <v>9</v>
      </c>
      <c r="D56" s="45" t="s">
        <v>28</v>
      </c>
      <c r="E56" s="5" t="s">
        <v>518</v>
      </c>
      <c r="F56" s="46">
        <v>1</v>
      </c>
      <c r="G56" s="7">
        <v>60000</v>
      </c>
      <c r="H56" s="7">
        <f t="shared" si="6"/>
        <v>60000</v>
      </c>
      <c r="I56" s="7">
        <f t="shared" si="7"/>
        <v>73200</v>
      </c>
      <c r="J56" s="46">
        <v>1</v>
      </c>
      <c r="K56" s="7">
        <v>60000</v>
      </c>
      <c r="L56" s="7">
        <f t="shared" si="115"/>
        <v>60000</v>
      </c>
      <c r="M56" s="7">
        <f t="shared" si="116"/>
        <v>73200</v>
      </c>
      <c r="N56" s="6"/>
      <c r="O56" s="6"/>
      <c r="P56" s="41"/>
      <c r="Q56" s="41"/>
      <c r="R56" s="6"/>
      <c r="S56" s="7"/>
      <c r="T56" s="54">
        <f t="shared" si="13"/>
        <v>1</v>
      </c>
      <c r="U56" s="20">
        <v>43248</v>
      </c>
      <c r="V56" s="20">
        <v>43283</v>
      </c>
      <c r="W56" s="20">
        <v>43514</v>
      </c>
      <c r="X56" s="20">
        <v>43559</v>
      </c>
      <c r="Y56" s="6"/>
      <c r="Z56" s="6"/>
      <c r="AA56" s="6" t="s">
        <v>1003</v>
      </c>
      <c r="AB56" s="6" t="s">
        <v>1001</v>
      </c>
      <c r="AC56" s="6"/>
      <c r="AD56" s="6"/>
      <c r="AE56" s="6"/>
      <c r="AF56" s="5"/>
      <c r="AG56" s="5"/>
      <c r="AH56" s="6" t="s">
        <v>1546</v>
      </c>
      <c r="AI56" s="6" t="s">
        <v>1557</v>
      </c>
    </row>
    <row r="57" spans="1:35" ht="36" x14ac:dyDescent="0.25">
      <c r="A57" s="91">
        <v>50</v>
      </c>
      <c r="B57" s="91" t="s">
        <v>8</v>
      </c>
      <c r="C57" s="92" t="s">
        <v>9</v>
      </c>
      <c r="D57" s="92" t="s">
        <v>28</v>
      </c>
      <c r="E57" s="92" t="s">
        <v>519</v>
      </c>
      <c r="F57" s="91">
        <v>1</v>
      </c>
      <c r="G57" s="93">
        <v>94500</v>
      </c>
      <c r="H57" s="93">
        <f t="shared" si="6"/>
        <v>94500</v>
      </c>
      <c r="I57" s="93">
        <f t="shared" si="7"/>
        <v>115290</v>
      </c>
      <c r="J57" s="91">
        <v>1</v>
      </c>
      <c r="K57" s="93">
        <v>92500</v>
      </c>
      <c r="L57" s="93">
        <f t="shared" ref="L57:L58" si="117">J57*K57</f>
        <v>92500</v>
      </c>
      <c r="M57" s="93">
        <f t="shared" ref="M57:M58" si="118">L57*1.22</f>
        <v>112850</v>
      </c>
      <c r="N57" s="91">
        <v>1</v>
      </c>
      <c r="O57" s="93">
        <v>88885.87000000001</v>
      </c>
      <c r="P57" s="93">
        <f>N57*O57</f>
        <v>88885.87000000001</v>
      </c>
      <c r="Q57" s="93">
        <f>P57*1.22</f>
        <v>108440.7614</v>
      </c>
      <c r="R57" s="91">
        <v>2019</v>
      </c>
      <c r="S57" s="93">
        <f t="shared" si="12"/>
        <v>6849.2385999999969</v>
      </c>
      <c r="T57" s="213">
        <f t="shared" si="13"/>
        <v>3.9071675675675599E-2</v>
      </c>
      <c r="U57" s="101">
        <v>43248</v>
      </c>
      <c r="V57" s="101">
        <v>43283</v>
      </c>
      <c r="W57" s="101">
        <v>43514</v>
      </c>
      <c r="X57" s="101">
        <v>43559</v>
      </c>
      <c r="Y57" s="91" t="s">
        <v>1156</v>
      </c>
      <c r="Z57" s="91" t="s">
        <v>1182</v>
      </c>
      <c r="AA57" s="91" t="s">
        <v>1186</v>
      </c>
      <c r="AB57" s="214" t="s">
        <v>1001</v>
      </c>
      <c r="AC57" s="214">
        <v>43756</v>
      </c>
      <c r="AD57" s="91">
        <v>43783</v>
      </c>
      <c r="AE57" s="91" t="s">
        <v>1195</v>
      </c>
      <c r="AF57" s="92" t="s">
        <v>1377</v>
      </c>
      <c r="AG57" s="91" t="s">
        <v>1419</v>
      </c>
      <c r="AH57" s="91" t="s">
        <v>1546</v>
      </c>
      <c r="AI57" s="91" t="s">
        <v>1541</v>
      </c>
    </row>
    <row r="58" spans="1:35" ht="24" x14ac:dyDescent="0.25">
      <c r="A58" s="91">
        <v>51</v>
      </c>
      <c r="B58" s="91" t="s">
        <v>8</v>
      </c>
      <c r="C58" s="92" t="s">
        <v>9</v>
      </c>
      <c r="D58" s="92" t="s">
        <v>28</v>
      </c>
      <c r="E58" s="92" t="s">
        <v>520</v>
      </c>
      <c r="F58" s="91">
        <v>1</v>
      </c>
      <c r="G58" s="93">
        <v>94500</v>
      </c>
      <c r="H58" s="93">
        <f t="shared" si="6"/>
        <v>94500</v>
      </c>
      <c r="I58" s="93">
        <f t="shared" si="7"/>
        <v>115290</v>
      </c>
      <c r="J58" s="91">
        <v>1</v>
      </c>
      <c r="K58" s="93">
        <v>90000</v>
      </c>
      <c r="L58" s="93">
        <f t="shared" si="117"/>
        <v>90000</v>
      </c>
      <c r="M58" s="93">
        <f t="shared" si="118"/>
        <v>109800</v>
      </c>
      <c r="N58" s="91">
        <v>1</v>
      </c>
      <c r="O58" s="93">
        <v>87128.84</v>
      </c>
      <c r="P58" s="93">
        <f t="shared" ref="P58:P61" si="119">N58*O58</f>
        <v>87128.84</v>
      </c>
      <c r="Q58" s="93">
        <f>P58*1.22</f>
        <v>106297.18479999999</v>
      </c>
      <c r="R58" s="91">
        <v>2019</v>
      </c>
      <c r="S58" s="93">
        <f t="shared" si="12"/>
        <v>8992.8152000000118</v>
      </c>
      <c r="T58" s="213">
        <f t="shared" si="13"/>
        <v>3.1901777777777918E-2</v>
      </c>
      <c r="U58" s="101">
        <v>43248</v>
      </c>
      <c r="V58" s="101">
        <v>43283</v>
      </c>
      <c r="W58" s="101">
        <v>43514</v>
      </c>
      <c r="X58" s="101">
        <v>43559</v>
      </c>
      <c r="Y58" s="91" t="s">
        <v>1156</v>
      </c>
      <c r="Z58" s="91" t="s">
        <v>1180</v>
      </c>
      <c r="AA58" s="91" t="s">
        <v>1004</v>
      </c>
      <c r="AB58" s="214" t="s">
        <v>1001</v>
      </c>
      <c r="AC58" s="214" t="s">
        <v>1144</v>
      </c>
      <c r="AD58" s="91">
        <v>43819</v>
      </c>
      <c r="AE58" s="91" t="s">
        <v>1178</v>
      </c>
      <c r="AF58" s="92" t="s">
        <v>1377</v>
      </c>
      <c r="AG58" s="91" t="s">
        <v>1420</v>
      </c>
      <c r="AH58" s="91" t="s">
        <v>1546</v>
      </c>
      <c r="AI58" s="91" t="s">
        <v>1541</v>
      </c>
    </row>
    <row r="59" spans="1:35" ht="36" x14ac:dyDescent="0.25">
      <c r="A59" s="91">
        <v>52</v>
      </c>
      <c r="B59" s="91" t="s">
        <v>8</v>
      </c>
      <c r="C59" s="92" t="s">
        <v>9</v>
      </c>
      <c r="D59" s="92" t="s">
        <v>28</v>
      </c>
      <c r="E59" s="92" t="s">
        <v>535</v>
      </c>
      <c r="F59" s="91">
        <v>1</v>
      </c>
      <c r="G59" s="93">
        <v>94500</v>
      </c>
      <c r="H59" s="93">
        <f t="shared" si="6"/>
        <v>94500</v>
      </c>
      <c r="I59" s="93">
        <f t="shared" si="7"/>
        <v>115290</v>
      </c>
      <c r="J59" s="91">
        <v>1</v>
      </c>
      <c r="K59" s="93">
        <v>95000</v>
      </c>
      <c r="L59" s="93">
        <f t="shared" ref="L59:L60" si="120">J59*K59</f>
        <v>95000</v>
      </c>
      <c r="M59" s="93">
        <f t="shared" ref="M59:M60" si="121">L59*1.22</f>
        <v>115900</v>
      </c>
      <c r="N59" s="91">
        <v>1</v>
      </c>
      <c r="O59" s="93">
        <v>86047.5</v>
      </c>
      <c r="P59" s="93">
        <f>N59*O59</f>
        <v>86047.5</v>
      </c>
      <c r="Q59" s="93">
        <f>P59*1.22</f>
        <v>104977.95</v>
      </c>
      <c r="R59" s="91">
        <v>2019</v>
      </c>
      <c r="S59" s="93">
        <f>I59-Q59</f>
        <v>10312.050000000003</v>
      </c>
      <c r="T59" s="213">
        <f t="shared" si="13"/>
        <v>9.4236842105263174E-2</v>
      </c>
      <c r="U59" s="101">
        <v>43248</v>
      </c>
      <c r="V59" s="101">
        <v>43283</v>
      </c>
      <c r="W59" s="101">
        <v>43514</v>
      </c>
      <c r="X59" s="101">
        <v>43559</v>
      </c>
      <c r="Y59" s="91" t="s">
        <v>1156</v>
      </c>
      <c r="Z59" s="91" t="s">
        <v>1184</v>
      </c>
      <c r="AA59" s="91" t="s">
        <v>1183</v>
      </c>
      <c r="AB59" s="214" t="s">
        <v>1001</v>
      </c>
      <c r="AC59" s="214">
        <v>43756</v>
      </c>
      <c r="AD59" s="91">
        <v>43775</v>
      </c>
      <c r="AE59" s="91" t="s">
        <v>1528</v>
      </c>
      <c r="AF59" s="92" t="s">
        <v>1377</v>
      </c>
      <c r="AG59" s="91" t="s">
        <v>1529</v>
      </c>
      <c r="AH59" s="91" t="s">
        <v>1546</v>
      </c>
      <c r="AI59" s="91" t="s">
        <v>1541</v>
      </c>
    </row>
    <row r="60" spans="1:35" ht="34.700000000000003" hidden="1" x14ac:dyDescent="0.25">
      <c r="A60" s="91">
        <v>53</v>
      </c>
      <c r="B60" s="91" t="s">
        <v>8</v>
      </c>
      <c r="C60" s="92" t="s">
        <v>9</v>
      </c>
      <c r="D60" s="92" t="s">
        <v>44</v>
      </c>
      <c r="E60" s="92" t="s">
        <v>502</v>
      </c>
      <c r="F60" s="91">
        <v>1</v>
      </c>
      <c r="G60" s="93">
        <v>160000</v>
      </c>
      <c r="H60" s="93">
        <f t="shared" si="6"/>
        <v>160000</v>
      </c>
      <c r="I60" s="93">
        <f t="shared" si="7"/>
        <v>195200</v>
      </c>
      <c r="J60" s="91">
        <v>1</v>
      </c>
      <c r="K60" s="93">
        <v>194000</v>
      </c>
      <c r="L60" s="93">
        <f t="shared" si="120"/>
        <v>194000</v>
      </c>
      <c r="M60" s="93">
        <f t="shared" si="121"/>
        <v>236680</v>
      </c>
      <c r="N60" s="91">
        <v>1</v>
      </c>
      <c r="O60" s="93">
        <f>125000+19000+1500+4000</f>
        <v>149500</v>
      </c>
      <c r="P60" s="93">
        <f t="shared" si="119"/>
        <v>149500</v>
      </c>
      <c r="Q60" s="93">
        <f t="shared" ref="Q60:Q61" si="122">P60*1.22</f>
        <v>182390</v>
      </c>
      <c r="R60" s="91">
        <v>2018</v>
      </c>
      <c r="S60" s="93">
        <f t="shared" si="12"/>
        <v>12810</v>
      </c>
      <c r="T60" s="213">
        <f t="shared" si="13"/>
        <v>0.22938144329896903</v>
      </c>
      <c r="U60" s="101">
        <v>42669</v>
      </c>
      <c r="V60" s="101">
        <v>42718</v>
      </c>
      <c r="W60" s="101">
        <v>43130</v>
      </c>
      <c r="X60" s="101">
        <v>43131</v>
      </c>
      <c r="Y60" s="91"/>
      <c r="Z60" s="91" t="s">
        <v>1012</v>
      </c>
      <c r="AA60" s="91" t="s">
        <v>1010</v>
      </c>
      <c r="AB60" s="214" t="s">
        <v>1369</v>
      </c>
      <c r="AC60" s="214" t="s">
        <v>1013</v>
      </c>
      <c r="AD60" s="91" t="s">
        <v>1014</v>
      </c>
      <c r="AE60" s="91" t="s">
        <v>1011</v>
      </c>
      <c r="AF60" s="92" t="s">
        <v>1377</v>
      </c>
      <c r="AG60" s="91" t="s">
        <v>1427</v>
      </c>
      <c r="AH60" s="91" t="s">
        <v>8</v>
      </c>
      <c r="AI60" s="91" t="s">
        <v>1541</v>
      </c>
    </row>
    <row r="61" spans="1:35" ht="36" x14ac:dyDescent="0.25">
      <c r="A61" s="91">
        <v>54</v>
      </c>
      <c r="B61" s="91" t="s">
        <v>8</v>
      </c>
      <c r="C61" s="92" t="s">
        <v>9</v>
      </c>
      <c r="D61" s="92" t="s">
        <v>517</v>
      </c>
      <c r="E61" s="92" t="s">
        <v>193</v>
      </c>
      <c r="F61" s="91">
        <v>1</v>
      </c>
      <c r="G61" s="93">
        <v>50000</v>
      </c>
      <c r="H61" s="93">
        <f t="shared" si="6"/>
        <v>50000</v>
      </c>
      <c r="I61" s="93">
        <f t="shared" si="7"/>
        <v>61000</v>
      </c>
      <c r="J61" s="91">
        <v>1</v>
      </c>
      <c r="K61" s="93">
        <v>55000</v>
      </c>
      <c r="L61" s="93">
        <f t="shared" ref="L61" si="123">J61*K61</f>
        <v>55000</v>
      </c>
      <c r="M61" s="93">
        <f t="shared" ref="M61" si="124">L61*1.22</f>
        <v>67100</v>
      </c>
      <c r="N61" s="91">
        <v>1</v>
      </c>
      <c r="O61" s="93">
        <v>53406.400000000001</v>
      </c>
      <c r="P61" s="93">
        <f t="shared" si="119"/>
        <v>53406.400000000001</v>
      </c>
      <c r="Q61" s="93">
        <f t="shared" si="122"/>
        <v>65155.807999999997</v>
      </c>
      <c r="R61" s="91">
        <v>2019</v>
      </c>
      <c r="S61" s="93">
        <f t="shared" si="12"/>
        <v>-4155.8079999999973</v>
      </c>
      <c r="T61" s="213">
        <f t="shared" si="13"/>
        <v>2.8974545454545475E-2</v>
      </c>
      <c r="U61" s="101">
        <v>43248</v>
      </c>
      <c r="V61" s="101">
        <v>43283</v>
      </c>
      <c r="W61" s="101">
        <v>43514</v>
      </c>
      <c r="X61" s="101">
        <v>43559</v>
      </c>
      <c r="Y61" s="91" t="s">
        <v>1156</v>
      </c>
      <c r="Z61" s="91" t="s">
        <v>1181</v>
      </c>
      <c r="AA61" s="91" t="s">
        <v>1175</v>
      </c>
      <c r="AB61" s="214" t="s">
        <v>1001</v>
      </c>
      <c r="AC61" s="214">
        <v>43749</v>
      </c>
      <c r="AD61" s="91">
        <v>43789</v>
      </c>
      <c r="AE61" s="91" t="s">
        <v>1528</v>
      </c>
      <c r="AF61" s="92" t="s">
        <v>1377</v>
      </c>
      <c r="AG61" s="91" t="s">
        <v>1529</v>
      </c>
      <c r="AH61" s="91" t="s">
        <v>1546</v>
      </c>
      <c r="AI61" s="91" t="s">
        <v>1541</v>
      </c>
    </row>
    <row r="62" spans="1:35" ht="11.65" hidden="1" x14ac:dyDescent="0.25">
      <c r="A62" s="454" t="s">
        <v>59</v>
      </c>
      <c r="B62" s="455"/>
      <c r="C62" s="454"/>
      <c r="D62" s="454"/>
      <c r="E62" s="454"/>
      <c r="F62" s="454"/>
      <c r="G62" s="454"/>
      <c r="H62" s="454"/>
      <c r="I62" s="2">
        <f>SUM(I2:I61)</f>
        <v>7050074.0007223999</v>
      </c>
      <c r="J62" s="181"/>
      <c r="K62" s="181"/>
      <c r="L62" s="115"/>
      <c r="M62" s="181"/>
      <c r="N62" s="181"/>
      <c r="O62" s="181"/>
      <c r="P62" s="181"/>
      <c r="Q62" s="2">
        <f>SUM(Q2:Q61)</f>
        <v>5728709.6832888881</v>
      </c>
      <c r="R62" s="181"/>
      <c r="S62" s="2">
        <f>SUM(S1:S61)</f>
        <v>1065164.3174335114</v>
      </c>
      <c r="T62" s="180"/>
      <c r="U62" s="181"/>
      <c r="V62" s="181"/>
      <c r="W62" s="181"/>
      <c r="X62" s="181"/>
      <c r="Y62" s="181"/>
      <c r="Z62" s="181"/>
      <c r="AA62" s="181"/>
      <c r="AB62" s="181"/>
      <c r="AC62" s="181"/>
      <c r="AD62" s="181"/>
      <c r="AE62" s="181"/>
      <c r="AF62" s="182"/>
      <c r="AG62" s="182"/>
      <c r="AH62" s="181"/>
      <c r="AI62" s="181"/>
    </row>
    <row r="63" spans="1:35" x14ac:dyDescent="0.25">
      <c r="Q63" s="67"/>
    </row>
    <row r="64" spans="1:35" x14ac:dyDescent="0.25">
      <c r="Q64" s="14"/>
      <c r="S64" s="14"/>
    </row>
    <row r="65" spans="15:19" x14ac:dyDescent="0.25">
      <c r="O65" s="14"/>
      <c r="Q65" s="278"/>
      <c r="S65" s="278"/>
    </row>
    <row r="66" spans="15:19" x14ac:dyDescent="0.25">
      <c r="O66" s="14"/>
    </row>
    <row r="68" spans="15:19" x14ac:dyDescent="0.25">
      <c r="Q68" s="14"/>
    </row>
  </sheetData>
  <autoFilter ref="A1:AI62">
    <filterColumn colId="33">
      <filters>
        <filter val="SUARB"/>
      </filters>
    </filterColumn>
  </autoFilter>
  <mergeCells count="1">
    <mergeCell ref="A62:H62"/>
  </mergeCells>
  <printOptions horizontalCentered="1"/>
  <pageMargins left="0" right="0" top="0.39370078740157483" bottom="0.39370078740157483" header="0.23622047244094491" footer="0.23622047244094491"/>
  <pageSetup paperSize="9" scale="56" orientation="landscape" horizontalDpi="4294967294" verticalDpi="4294967294" r:id="rId1"/>
  <headerFooter alignWithMargins="0">
    <oddHeader>&amp;C&amp;"Garamond,Normale"ADP Matera - D.G.R. 1670/2015; 472 e 1179/2017</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3"/>
  <sheetViews>
    <sheetView topLeftCell="J1" zoomScale="80" zoomScaleNormal="80" workbookViewId="0">
      <pane ySplit="1" topLeftCell="A5" activePane="bottomLeft" state="frozen"/>
      <selection pane="bottomLeft" activeCell="Q2" sqref="Q2:Q31"/>
    </sheetView>
  </sheetViews>
  <sheetFormatPr defaultColWidth="9" defaultRowHeight="12" x14ac:dyDescent="0.25"/>
  <cols>
    <col min="1" max="1" width="4" style="13" bestFit="1" customWidth="1"/>
    <col min="2" max="2" width="6.28515625" style="13" customWidth="1"/>
    <col min="3" max="3" width="11.140625" style="12" bestFit="1" customWidth="1"/>
    <col min="4" max="4" width="22.5703125" style="12" customWidth="1"/>
    <col min="5" max="5" width="31.7109375" style="12" bestFit="1" customWidth="1"/>
    <col min="6" max="6" width="8.42578125" style="13" customWidth="1"/>
    <col min="7" max="7" width="14.7109375" style="14" customWidth="1"/>
    <col min="8" max="8" width="15.42578125" style="14" customWidth="1"/>
    <col min="9" max="9" width="15.28515625" style="14" customWidth="1"/>
    <col min="10" max="10" width="9" style="13" customWidth="1"/>
    <col min="11" max="11" width="20.7109375" style="191" customWidth="1"/>
    <col min="12" max="12" width="20.42578125" style="13" customWidth="1"/>
    <col min="13" max="13" width="20.140625" style="13" customWidth="1"/>
    <col min="14" max="14" width="8.42578125" style="13" customWidth="1"/>
    <col min="15" max="15" width="14.28515625" style="13" customWidth="1"/>
    <col min="16" max="16" width="12.42578125" style="13" customWidth="1"/>
    <col min="17" max="17" width="16.28515625" style="13" bestFit="1" customWidth="1"/>
    <col min="18" max="18" width="13.28515625" style="13" customWidth="1"/>
    <col min="19" max="19" width="17" style="13" bestFit="1" customWidth="1"/>
    <col min="20" max="20" width="14.28515625" style="55" customWidth="1"/>
    <col min="21" max="21" width="15" style="13" customWidth="1"/>
    <col min="22" max="22" width="15.42578125" style="13" customWidth="1"/>
    <col min="23" max="24" width="15.7109375" style="13" customWidth="1"/>
    <col min="25" max="25" width="17.85546875" style="13" customWidth="1"/>
    <col min="26" max="26" width="21.5703125" style="13" customWidth="1"/>
    <col min="27" max="27" width="17.42578125" style="13" customWidth="1"/>
    <col min="28" max="28" width="23.7109375" style="13" customWidth="1"/>
    <col min="29" max="29" width="21.42578125" style="13" customWidth="1"/>
    <col min="30" max="30" width="17.42578125" style="13" customWidth="1"/>
    <col min="31" max="31" width="26.140625" style="12" customWidth="1"/>
    <col min="32" max="32" width="17.42578125" style="13" customWidth="1"/>
    <col min="33" max="33" width="22.5703125" style="13" customWidth="1"/>
    <col min="34" max="34" width="20" style="13" customWidth="1"/>
    <col min="35" max="35" width="11.140625" style="13" customWidth="1"/>
    <col min="36" max="16384" width="9" style="12"/>
  </cols>
  <sheetData>
    <row r="1" spans="1:35" s="3" customFormat="1" ht="37.9" customHeight="1" x14ac:dyDescent="0.25">
      <c r="A1" s="66" t="s">
        <v>0</v>
      </c>
      <c r="B1" s="66" t="s">
        <v>1</v>
      </c>
      <c r="C1" s="66" t="s">
        <v>2</v>
      </c>
      <c r="D1" s="66" t="s">
        <v>3</v>
      </c>
      <c r="E1" s="66" t="s">
        <v>4</v>
      </c>
      <c r="F1" s="66" t="s">
        <v>5</v>
      </c>
      <c r="G1" s="66" t="s">
        <v>186</v>
      </c>
      <c r="H1" s="66" t="s">
        <v>92</v>
      </c>
      <c r="I1" s="66" t="s">
        <v>61</v>
      </c>
      <c r="J1" s="66" t="s">
        <v>5</v>
      </c>
      <c r="K1" s="189" t="s">
        <v>105</v>
      </c>
      <c r="L1" s="66" t="s">
        <v>92</v>
      </c>
      <c r="M1" s="66" t="s">
        <v>61</v>
      </c>
      <c r="N1" s="66" t="s">
        <v>5</v>
      </c>
      <c r="O1" s="66" t="s">
        <v>67</v>
      </c>
      <c r="P1" s="66" t="s">
        <v>6</v>
      </c>
      <c r="Q1" s="66" t="s">
        <v>7</v>
      </c>
      <c r="R1" s="66" t="s">
        <v>313</v>
      </c>
      <c r="S1" s="66" t="s">
        <v>93</v>
      </c>
      <c r="T1" s="66" t="s">
        <v>267</v>
      </c>
      <c r="U1" s="66" t="s">
        <v>106</v>
      </c>
      <c r="V1" s="66" t="s">
        <v>107</v>
      </c>
      <c r="W1" s="66" t="s">
        <v>108</v>
      </c>
      <c r="X1" s="66" t="s">
        <v>109</v>
      </c>
      <c r="Y1" s="66" t="s">
        <v>110</v>
      </c>
      <c r="Z1" s="66" t="s">
        <v>111</v>
      </c>
      <c r="AA1" s="66" t="s">
        <v>112</v>
      </c>
      <c r="AB1" s="66" t="s">
        <v>113</v>
      </c>
      <c r="AC1" s="66" t="s">
        <v>114</v>
      </c>
      <c r="AD1" s="66" t="s">
        <v>115</v>
      </c>
      <c r="AE1" s="66" t="s">
        <v>116</v>
      </c>
      <c r="AF1" s="66" t="s">
        <v>117</v>
      </c>
      <c r="AG1" s="66" t="s">
        <v>118</v>
      </c>
      <c r="AH1" s="64" t="s">
        <v>1544</v>
      </c>
      <c r="AI1" s="64" t="s">
        <v>1540</v>
      </c>
    </row>
    <row r="2" spans="1:35" ht="60" x14ac:dyDescent="0.25">
      <c r="A2" s="91">
        <v>1</v>
      </c>
      <c r="B2" s="91" t="s">
        <v>8</v>
      </c>
      <c r="C2" s="95" t="s">
        <v>53</v>
      </c>
      <c r="D2" s="92" t="s">
        <v>10</v>
      </c>
      <c r="E2" s="92" t="s">
        <v>187</v>
      </c>
      <c r="F2" s="91">
        <v>250</v>
      </c>
      <c r="G2" s="93">
        <v>130</v>
      </c>
      <c r="H2" s="93">
        <f t="shared" ref="H2" si="0">F2*G2</f>
        <v>32500</v>
      </c>
      <c r="I2" s="93">
        <f t="shared" ref="I2" si="1">H2*1.22</f>
        <v>39650</v>
      </c>
      <c r="J2" s="91">
        <v>150</v>
      </c>
      <c r="K2" s="93">
        <v>130</v>
      </c>
      <c r="L2" s="93">
        <f t="shared" ref="L2" si="2">J2*K2</f>
        <v>19500</v>
      </c>
      <c r="M2" s="93">
        <f t="shared" ref="M2" si="3">L2*1.22</f>
        <v>23790</v>
      </c>
      <c r="N2" s="91">
        <v>150</v>
      </c>
      <c r="O2" s="93">
        <f>P2/N2</f>
        <v>119</v>
      </c>
      <c r="P2" s="93">
        <v>17850</v>
      </c>
      <c r="Q2" s="93">
        <f t="shared" ref="Q2" si="4">P2*1.22</f>
        <v>21777</v>
      </c>
      <c r="R2" s="91">
        <v>2020</v>
      </c>
      <c r="S2" s="93">
        <f t="shared" ref="S2" si="5">I2-Q2</f>
        <v>17873</v>
      </c>
      <c r="T2" s="213">
        <f>1-Q2/M2</f>
        <v>8.4615384615384648E-2</v>
      </c>
      <c r="U2" s="101">
        <v>43306</v>
      </c>
      <c r="V2" s="101">
        <v>43370</v>
      </c>
      <c r="W2" s="91" t="s">
        <v>1279</v>
      </c>
      <c r="X2" s="91" t="s">
        <v>1280</v>
      </c>
      <c r="Y2" s="91" t="s">
        <v>1537</v>
      </c>
      <c r="Z2" s="91" t="s">
        <v>1356</v>
      </c>
      <c r="AA2" s="91">
        <v>7559994069</v>
      </c>
      <c r="AB2" s="91" t="s">
        <v>1281</v>
      </c>
      <c r="AC2" s="101">
        <v>44270</v>
      </c>
      <c r="AD2" s="101">
        <v>44271</v>
      </c>
      <c r="AE2" s="91" t="s">
        <v>1583</v>
      </c>
      <c r="AF2" s="91" t="s">
        <v>1592</v>
      </c>
      <c r="AG2" s="91" t="s">
        <v>1607</v>
      </c>
      <c r="AH2" s="91" t="s">
        <v>1560</v>
      </c>
      <c r="AI2" s="91" t="s">
        <v>1541</v>
      </c>
    </row>
    <row r="3" spans="1:35" ht="108" x14ac:dyDescent="0.25">
      <c r="A3" s="91">
        <v>2</v>
      </c>
      <c r="B3" s="91" t="s">
        <v>8</v>
      </c>
      <c r="C3" s="95" t="s">
        <v>53</v>
      </c>
      <c r="D3" s="92" t="s">
        <v>10</v>
      </c>
      <c r="E3" s="92" t="s">
        <v>188</v>
      </c>
      <c r="F3" s="91">
        <v>1</v>
      </c>
      <c r="G3" s="93">
        <v>40000</v>
      </c>
      <c r="H3" s="93">
        <f t="shared" ref="H3:H7" si="6">F3*G3</f>
        <v>40000</v>
      </c>
      <c r="I3" s="93">
        <f t="shared" ref="I3:I7" si="7">H3*1.22</f>
        <v>48800</v>
      </c>
      <c r="J3" s="91">
        <v>1</v>
      </c>
      <c r="K3" s="93">
        <v>40000</v>
      </c>
      <c r="L3" s="93">
        <f t="shared" ref="L3" si="8">J3*K3</f>
        <v>40000</v>
      </c>
      <c r="M3" s="93">
        <f t="shared" ref="M3" si="9">L3*1.22</f>
        <v>48800</v>
      </c>
      <c r="N3" s="91">
        <v>1</v>
      </c>
      <c r="O3" s="93">
        <f>40006.5+18654.8</f>
        <v>58661.3</v>
      </c>
      <c r="P3" s="93">
        <f t="shared" ref="P3:P6" si="10">N3*O3</f>
        <v>58661.3</v>
      </c>
      <c r="Q3" s="93">
        <f t="shared" ref="Q3:Q6" si="11">P3*1.22</f>
        <v>71566.786000000007</v>
      </c>
      <c r="R3" s="91" t="s">
        <v>1487</v>
      </c>
      <c r="S3" s="93">
        <f t="shared" ref="S3" si="12">I3-Q3</f>
        <v>-22766.786000000007</v>
      </c>
      <c r="T3" s="213">
        <f>1-Q3/M3</f>
        <v>-0.46653250000000024</v>
      </c>
      <c r="U3" s="101">
        <v>43493</v>
      </c>
      <c r="V3" s="101">
        <v>43510</v>
      </c>
      <c r="W3" s="101">
        <v>43607</v>
      </c>
      <c r="X3" s="101">
        <v>43620</v>
      </c>
      <c r="Y3" s="91" t="s">
        <v>1536</v>
      </c>
      <c r="Z3" s="91" t="s">
        <v>1492</v>
      </c>
      <c r="AA3" s="91" t="s">
        <v>1488</v>
      </c>
      <c r="AB3" s="91" t="s">
        <v>1493</v>
      </c>
      <c r="AC3" s="101" t="s">
        <v>1517</v>
      </c>
      <c r="AD3" s="101" t="s">
        <v>1518</v>
      </c>
      <c r="AE3" s="91" t="s">
        <v>1490</v>
      </c>
      <c r="AF3" s="91" t="s">
        <v>1592</v>
      </c>
      <c r="AG3" s="91" t="s">
        <v>1491</v>
      </c>
      <c r="AH3" s="91" t="s">
        <v>8</v>
      </c>
      <c r="AI3" s="91" t="s">
        <v>1541</v>
      </c>
    </row>
    <row r="4" spans="1:35" ht="236.45" customHeight="1" x14ac:dyDescent="0.25">
      <c r="A4" s="6">
        <v>3</v>
      </c>
      <c r="B4" s="6" t="s">
        <v>8</v>
      </c>
      <c r="C4" s="45" t="s">
        <v>53</v>
      </c>
      <c r="D4" s="5" t="s">
        <v>10</v>
      </c>
      <c r="E4" s="5" t="s">
        <v>560</v>
      </c>
      <c r="F4" s="6">
        <v>1</v>
      </c>
      <c r="G4" s="7">
        <v>60000</v>
      </c>
      <c r="H4" s="7">
        <f t="shared" si="6"/>
        <v>60000</v>
      </c>
      <c r="I4" s="7">
        <f t="shared" si="7"/>
        <v>73200</v>
      </c>
      <c r="J4" s="6">
        <v>1</v>
      </c>
      <c r="K4" s="7">
        <v>62700</v>
      </c>
      <c r="L4" s="7">
        <f t="shared" ref="L4:L5" si="13">J4*K4</f>
        <v>62700</v>
      </c>
      <c r="M4" s="7">
        <f t="shared" ref="M4:M6" si="14">L4*1.22</f>
        <v>76494</v>
      </c>
      <c r="N4" s="6">
        <v>1</v>
      </c>
      <c r="O4" s="7">
        <v>36327.35</v>
      </c>
      <c r="P4" s="7">
        <v>37007.75</v>
      </c>
      <c r="Q4" s="7">
        <v>43884.61</v>
      </c>
      <c r="R4" s="6">
        <v>2020</v>
      </c>
      <c r="S4" s="7">
        <f t="shared" ref="S4:S6" si="15">I4-Q4</f>
        <v>29315.39</v>
      </c>
      <c r="T4" s="54">
        <f t="shared" ref="T4:T6" si="16">1-Q4/M4</f>
        <v>0.4262999712395743</v>
      </c>
      <c r="U4" s="20">
        <v>43306</v>
      </c>
      <c r="V4" s="20">
        <v>43370</v>
      </c>
      <c r="W4" s="6" t="s">
        <v>1279</v>
      </c>
      <c r="X4" s="6" t="s">
        <v>1280</v>
      </c>
      <c r="Y4" s="6" t="s">
        <v>1635</v>
      </c>
      <c r="Z4" s="71" t="s">
        <v>1638</v>
      </c>
      <c r="AA4" s="6" t="s">
        <v>1615</v>
      </c>
      <c r="AB4" s="6" t="s">
        <v>1538</v>
      </c>
      <c r="AC4" s="20" t="s">
        <v>1658</v>
      </c>
      <c r="AD4" s="20" t="s">
        <v>1659</v>
      </c>
      <c r="AE4" s="5" t="s">
        <v>1663</v>
      </c>
      <c r="AF4" s="6"/>
      <c r="AG4" s="281" t="s">
        <v>1777</v>
      </c>
      <c r="AH4" s="6" t="s">
        <v>1560</v>
      </c>
      <c r="AI4" s="6" t="s">
        <v>2026</v>
      </c>
    </row>
    <row r="5" spans="1:35" ht="36" x14ac:dyDescent="0.25">
      <c r="A5" s="91" t="s">
        <v>1258</v>
      </c>
      <c r="B5" s="91" t="s">
        <v>8</v>
      </c>
      <c r="C5" s="95" t="s">
        <v>53</v>
      </c>
      <c r="D5" s="92" t="s">
        <v>10</v>
      </c>
      <c r="E5" s="92" t="s">
        <v>190</v>
      </c>
      <c r="F5" s="91">
        <v>43</v>
      </c>
      <c r="G5" s="93">
        <v>2000</v>
      </c>
      <c r="H5" s="93">
        <f t="shared" si="6"/>
        <v>86000</v>
      </c>
      <c r="I5" s="93">
        <f t="shared" si="7"/>
        <v>104920</v>
      </c>
      <c r="J5" s="91">
        <v>60</v>
      </c>
      <c r="K5" s="93">
        <v>1600</v>
      </c>
      <c r="L5" s="93">
        <f t="shared" si="13"/>
        <v>96000</v>
      </c>
      <c r="M5" s="93">
        <f t="shared" si="14"/>
        <v>117120</v>
      </c>
      <c r="N5" s="91">
        <v>60</v>
      </c>
      <c r="O5" s="93">
        <v>1464.75</v>
      </c>
      <c r="P5" s="93">
        <f t="shared" si="10"/>
        <v>87885</v>
      </c>
      <c r="Q5" s="93">
        <f t="shared" si="11"/>
        <v>107219.7</v>
      </c>
      <c r="R5" s="91">
        <v>2020</v>
      </c>
      <c r="S5" s="93">
        <f t="shared" si="15"/>
        <v>-2299.6999999999971</v>
      </c>
      <c r="T5" s="213">
        <f t="shared" si="16"/>
        <v>8.4531250000000058E-2</v>
      </c>
      <c r="U5" s="101">
        <v>43306</v>
      </c>
      <c r="V5" s="101">
        <v>43370</v>
      </c>
      <c r="W5" s="91" t="s">
        <v>1279</v>
      </c>
      <c r="X5" s="91" t="s">
        <v>1280</v>
      </c>
      <c r="Y5" s="91" t="s">
        <v>1254</v>
      </c>
      <c r="Z5" s="91" t="s">
        <v>1257</v>
      </c>
      <c r="AA5" s="91" t="s">
        <v>1256</v>
      </c>
      <c r="AB5" s="91" t="s">
        <v>1255</v>
      </c>
      <c r="AC5" s="101">
        <v>44026</v>
      </c>
      <c r="AD5" s="101">
        <v>44026</v>
      </c>
      <c r="AE5" s="91" t="s">
        <v>1421</v>
      </c>
      <c r="AF5" s="91" t="s">
        <v>1468</v>
      </c>
      <c r="AG5" s="91" t="s">
        <v>1423</v>
      </c>
      <c r="AH5" s="91" t="s">
        <v>1560</v>
      </c>
      <c r="AI5" s="91" t="s">
        <v>1541</v>
      </c>
    </row>
    <row r="6" spans="1:35" ht="60" x14ac:dyDescent="0.25">
      <c r="A6" s="91" t="s">
        <v>1259</v>
      </c>
      <c r="B6" s="91" t="s">
        <v>8</v>
      </c>
      <c r="C6" s="95" t="s">
        <v>53</v>
      </c>
      <c r="D6" s="92" t="s">
        <v>10</v>
      </c>
      <c r="E6" s="92" t="s">
        <v>1260</v>
      </c>
      <c r="F6" s="91">
        <v>7</v>
      </c>
      <c r="G6" s="93">
        <v>2000</v>
      </c>
      <c r="H6" s="93">
        <f t="shared" si="6"/>
        <v>14000</v>
      </c>
      <c r="I6" s="93">
        <f t="shared" si="7"/>
        <v>17080</v>
      </c>
      <c r="J6" s="91">
        <v>7</v>
      </c>
      <c r="K6" s="93">
        <v>2000</v>
      </c>
      <c r="L6" s="93">
        <f>J6*K6</f>
        <v>14000</v>
      </c>
      <c r="M6" s="93">
        <f t="shared" si="14"/>
        <v>17080</v>
      </c>
      <c r="N6" s="91">
        <v>7</v>
      </c>
      <c r="O6" s="93">
        <v>1937</v>
      </c>
      <c r="P6" s="93">
        <f t="shared" si="10"/>
        <v>13559</v>
      </c>
      <c r="Q6" s="93">
        <f t="shared" si="11"/>
        <v>16541.98</v>
      </c>
      <c r="R6" s="91">
        <v>2020</v>
      </c>
      <c r="S6" s="93">
        <f t="shared" si="15"/>
        <v>538.02000000000044</v>
      </c>
      <c r="T6" s="213">
        <f t="shared" si="16"/>
        <v>3.1499999999999972E-2</v>
      </c>
      <c r="U6" s="101">
        <v>43306</v>
      </c>
      <c r="V6" s="101">
        <v>43370</v>
      </c>
      <c r="W6" s="91" t="s">
        <v>1279</v>
      </c>
      <c r="X6" s="91" t="s">
        <v>1280</v>
      </c>
      <c r="Y6" s="91">
        <v>43994</v>
      </c>
      <c r="Z6" s="91" t="s">
        <v>1282</v>
      </c>
      <c r="AA6" s="91">
        <v>7560018436</v>
      </c>
      <c r="AB6" s="91" t="s">
        <v>1281</v>
      </c>
      <c r="AC6" s="101">
        <v>44124</v>
      </c>
      <c r="AD6" s="101">
        <v>44203</v>
      </c>
      <c r="AE6" s="91" t="s">
        <v>1469</v>
      </c>
      <c r="AF6" s="91" t="s">
        <v>1468</v>
      </c>
      <c r="AG6" s="91" t="s">
        <v>1390</v>
      </c>
      <c r="AH6" s="91" t="s">
        <v>1560</v>
      </c>
      <c r="AI6" s="91" t="s">
        <v>1541</v>
      </c>
    </row>
    <row r="7" spans="1:35" ht="36" x14ac:dyDescent="0.25">
      <c r="A7" s="91">
        <v>5</v>
      </c>
      <c r="B7" s="91" t="s">
        <v>8</v>
      </c>
      <c r="C7" s="95" t="s">
        <v>53</v>
      </c>
      <c r="D7" s="92" t="s">
        <v>12</v>
      </c>
      <c r="E7" s="92" t="s">
        <v>193</v>
      </c>
      <c r="F7" s="91">
        <v>1</v>
      </c>
      <c r="G7" s="93">
        <v>50000</v>
      </c>
      <c r="H7" s="93">
        <f t="shared" si="6"/>
        <v>50000</v>
      </c>
      <c r="I7" s="93">
        <f t="shared" si="7"/>
        <v>61000</v>
      </c>
      <c r="J7" s="91">
        <v>1</v>
      </c>
      <c r="K7" s="93">
        <v>48000</v>
      </c>
      <c r="L7" s="93">
        <f t="shared" ref="L7" si="17">J7*K7</f>
        <v>48000</v>
      </c>
      <c r="M7" s="93">
        <f t="shared" ref="M7" si="18">L7*1.22</f>
        <v>58560</v>
      </c>
      <c r="N7" s="91">
        <v>1</v>
      </c>
      <c r="O7" s="93">
        <v>46251.200000000004</v>
      </c>
      <c r="P7" s="93">
        <f t="shared" ref="P7" si="19">N7*O7</f>
        <v>46251.200000000004</v>
      </c>
      <c r="Q7" s="93">
        <f t="shared" ref="Q7" si="20">P7*1.22</f>
        <v>56426.464000000007</v>
      </c>
      <c r="R7" s="91">
        <v>2019</v>
      </c>
      <c r="S7" s="93">
        <f t="shared" ref="S7" si="21">I7-Q7</f>
        <v>4573.5359999999928</v>
      </c>
      <c r="T7" s="213">
        <f t="shared" ref="T7:T13" si="22">1-Q7/M7</f>
        <v>3.6433333333333207E-2</v>
      </c>
      <c r="U7" s="101">
        <v>43248</v>
      </c>
      <c r="V7" s="101">
        <v>43283</v>
      </c>
      <c r="W7" s="101">
        <v>43514</v>
      </c>
      <c r="X7" s="101">
        <v>43559</v>
      </c>
      <c r="Y7" s="91" t="s">
        <v>1156</v>
      </c>
      <c r="Z7" s="91" t="s">
        <v>1162</v>
      </c>
      <c r="AA7" s="91" t="s">
        <v>1161</v>
      </c>
      <c r="AB7" s="91" t="s">
        <v>1001</v>
      </c>
      <c r="AC7" s="101">
        <v>43713</v>
      </c>
      <c r="AD7" s="101">
        <v>43717</v>
      </c>
      <c r="AE7" s="91" t="s">
        <v>1167</v>
      </c>
      <c r="AF7" s="91" t="s">
        <v>1468</v>
      </c>
      <c r="AG7" s="91" t="s">
        <v>1424</v>
      </c>
      <c r="AH7" s="91" t="s">
        <v>1560</v>
      </c>
      <c r="AI7" s="91" t="s">
        <v>1541</v>
      </c>
    </row>
    <row r="8" spans="1:35" ht="36" x14ac:dyDescent="0.25">
      <c r="A8" s="91">
        <v>6</v>
      </c>
      <c r="B8" s="91" t="s">
        <v>8</v>
      </c>
      <c r="C8" s="95" t="s">
        <v>53</v>
      </c>
      <c r="D8" s="92" t="s">
        <v>12</v>
      </c>
      <c r="E8" s="92" t="s">
        <v>14</v>
      </c>
      <c r="F8" s="91">
        <v>4</v>
      </c>
      <c r="G8" s="93">
        <v>30000</v>
      </c>
      <c r="H8" s="93">
        <f t="shared" ref="H8:H34" si="23">F8*G8</f>
        <v>120000</v>
      </c>
      <c r="I8" s="93">
        <f t="shared" ref="I8:I34" si="24">H8*1.22</f>
        <v>146400</v>
      </c>
      <c r="J8" s="91">
        <v>4</v>
      </c>
      <c r="K8" s="93">
        <v>30000</v>
      </c>
      <c r="L8" s="93">
        <f>J8*K8</f>
        <v>120000</v>
      </c>
      <c r="M8" s="93">
        <f>L8*1.22</f>
        <v>146400</v>
      </c>
      <c r="N8" s="91">
        <v>4</v>
      </c>
      <c r="O8" s="93">
        <v>29661</v>
      </c>
      <c r="P8" s="93">
        <f>N8*O8</f>
        <v>118644</v>
      </c>
      <c r="Q8" s="93">
        <f>P8*1.22</f>
        <v>144745.68</v>
      </c>
      <c r="R8" s="91">
        <v>2017</v>
      </c>
      <c r="S8" s="93">
        <f t="shared" ref="S8" si="25">I8-Q8</f>
        <v>1654.320000000007</v>
      </c>
      <c r="T8" s="213">
        <f t="shared" si="22"/>
        <v>1.1300000000000088E-2</v>
      </c>
      <c r="U8" s="101">
        <v>42894</v>
      </c>
      <c r="V8" s="101">
        <v>42912</v>
      </c>
      <c r="W8" s="101">
        <v>42978</v>
      </c>
      <c r="X8" s="101">
        <v>42997</v>
      </c>
      <c r="Y8" s="91" t="s">
        <v>817</v>
      </c>
      <c r="Z8" s="91">
        <v>42997</v>
      </c>
      <c r="AA8" s="91" t="s">
        <v>816</v>
      </c>
      <c r="AB8" s="91" t="s">
        <v>815</v>
      </c>
      <c r="AC8" s="101" t="s">
        <v>818</v>
      </c>
      <c r="AD8" s="101">
        <v>43080</v>
      </c>
      <c r="AE8" s="91" t="s">
        <v>1470</v>
      </c>
      <c r="AF8" s="91" t="s">
        <v>1468</v>
      </c>
      <c r="AG8" s="91" t="s">
        <v>864</v>
      </c>
      <c r="AH8" s="91" t="s">
        <v>8</v>
      </c>
      <c r="AI8" s="91" t="s">
        <v>1541</v>
      </c>
    </row>
    <row r="9" spans="1:35" ht="24" x14ac:dyDescent="0.25">
      <c r="A9" s="91">
        <v>7</v>
      </c>
      <c r="B9" s="91" t="s">
        <v>8</v>
      </c>
      <c r="C9" s="95" t="s">
        <v>53</v>
      </c>
      <c r="D9" s="92" t="s">
        <v>196</v>
      </c>
      <c r="E9" s="92" t="s">
        <v>644</v>
      </c>
      <c r="F9" s="91">
        <v>1</v>
      </c>
      <c r="G9" s="93">
        <v>44500</v>
      </c>
      <c r="H9" s="93">
        <f t="shared" si="23"/>
        <v>44500</v>
      </c>
      <c r="I9" s="93">
        <f t="shared" si="24"/>
        <v>54290</v>
      </c>
      <c r="J9" s="91">
        <v>1</v>
      </c>
      <c r="K9" s="93">
        <v>42900</v>
      </c>
      <c r="L9" s="93">
        <f t="shared" ref="L9" si="26">J9*K9</f>
        <v>42900</v>
      </c>
      <c r="M9" s="93">
        <f t="shared" ref="M9" si="27">L9*1.22</f>
        <v>52338</v>
      </c>
      <c r="N9" s="91">
        <v>1</v>
      </c>
      <c r="O9" s="93">
        <v>35677.5</v>
      </c>
      <c r="P9" s="93">
        <f t="shared" ref="P9:P10" si="28">N9*O9</f>
        <v>35677.5</v>
      </c>
      <c r="Q9" s="93">
        <f t="shared" ref="Q9:Q10" si="29">P9*1.22</f>
        <v>43526.549999999996</v>
      </c>
      <c r="R9" s="91">
        <v>2019</v>
      </c>
      <c r="S9" s="93">
        <f t="shared" ref="S9" si="30">I9-Q9</f>
        <v>10763.450000000004</v>
      </c>
      <c r="T9" s="213">
        <f t="shared" si="22"/>
        <v>0.16835664335664347</v>
      </c>
      <c r="U9" s="101">
        <v>43353</v>
      </c>
      <c r="V9" s="101">
        <v>43363</v>
      </c>
      <c r="W9" s="101">
        <v>43551</v>
      </c>
      <c r="X9" s="101">
        <v>43570</v>
      </c>
      <c r="Y9" s="91" t="s">
        <v>1095</v>
      </c>
      <c r="Z9" s="91" t="s">
        <v>1096</v>
      </c>
      <c r="AA9" s="91">
        <v>7615936534</v>
      </c>
      <c r="AB9" s="91" t="s">
        <v>1027</v>
      </c>
      <c r="AC9" s="101">
        <v>43614</v>
      </c>
      <c r="AD9" s="101">
        <v>43671</v>
      </c>
      <c r="AE9" s="91" t="s">
        <v>1120</v>
      </c>
      <c r="AF9" s="91" t="s">
        <v>1468</v>
      </c>
      <c r="AG9" s="91" t="s">
        <v>1439</v>
      </c>
      <c r="AH9" s="91" t="s">
        <v>8</v>
      </c>
      <c r="AI9" s="91" t="s">
        <v>1541</v>
      </c>
    </row>
    <row r="10" spans="1:35" ht="36" x14ac:dyDescent="0.25">
      <c r="A10" s="91">
        <v>8</v>
      </c>
      <c r="B10" s="91" t="s">
        <v>8</v>
      </c>
      <c r="C10" s="95" t="s">
        <v>53</v>
      </c>
      <c r="D10" s="92" t="s">
        <v>197</v>
      </c>
      <c r="E10" s="92" t="s">
        <v>193</v>
      </c>
      <c r="F10" s="91">
        <v>1</v>
      </c>
      <c r="G10" s="93">
        <v>250000</v>
      </c>
      <c r="H10" s="93">
        <f t="shared" si="23"/>
        <v>250000</v>
      </c>
      <c r="I10" s="93">
        <f t="shared" si="24"/>
        <v>305000</v>
      </c>
      <c r="J10" s="91">
        <v>1</v>
      </c>
      <c r="K10" s="93">
        <v>250000</v>
      </c>
      <c r="L10" s="93">
        <f t="shared" ref="L10:L13" si="31">J10*K10</f>
        <v>250000</v>
      </c>
      <c r="M10" s="93">
        <f t="shared" ref="M10:M13" si="32">L10*1.22</f>
        <v>305000</v>
      </c>
      <c r="N10" s="91">
        <v>1</v>
      </c>
      <c r="O10" s="93">
        <v>128505</v>
      </c>
      <c r="P10" s="93">
        <f t="shared" si="28"/>
        <v>128505</v>
      </c>
      <c r="Q10" s="93">
        <f t="shared" si="29"/>
        <v>156776.1</v>
      </c>
      <c r="R10" s="91">
        <v>2019</v>
      </c>
      <c r="S10" s="93">
        <f t="shared" ref="S10" si="33">I10-Q10</f>
        <v>148223.9</v>
      </c>
      <c r="T10" s="213">
        <f t="shared" si="22"/>
        <v>0.48597999999999997</v>
      </c>
      <c r="U10" s="101">
        <v>43248</v>
      </c>
      <c r="V10" s="101">
        <v>43283</v>
      </c>
      <c r="W10" s="101">
        <v>43514</v>
      </c>
      <c r="X10" s="101">
        <v>43559</v>
      </c>
      <c r="Y10" s="91" t="s">
        <v>1157</v>
      </c>
      <c r="Z10" s="91" t="s">
        <v>1163</v>
      </c>
      <c r="AA10" s="91" t="s">
        <v>1165</v>
      </c>
      <c r="AB10" s="91" t="s">
        <v>1001</v>
      </c>
      <c r="AC10" s="101">
        <v>43734</v>
      </c>
      <c r="AD10" s="101">
        <v>43801</v>
      </c>
      <c r="AE10" s="91" t="s">
        <v>1166</v>
      </c>
      <c r="AF10" s="91" t="s">
        <v>1468</v>
      </c>
      <c r="AG10" s="91" t="s">
        <v>1527</v>
      </c>
      <c r="AH10" s="91" t="s">
        <v>1560</v>
      </c>
      <c r="AI10" s="91" t="s">
        <v>1541</v>
      </c>
    </row>
    <row r="11" spans="1:35" ht="24" x14ac:dyDescent="0.25">
      <c r="A11" s="91">
        <v>9</v>
      </c>
      <c r="B11" s="91" t="s">
        <v>8</v>
      </c>
      <c r="C11" s="95" t="s">
        <v>53</v>
      </c>
      <c r="D11" s="92" t="s">
        <v>82</v>
      </c>
      <c r="E11" s="92" t="s">
        <v>81</v>
      </c>
      <c r="F11" s="91">
        <v>1</v>
      </c>
      <c r="G11" s="93">
        <v>3300</v>
      </c>
      <c r="H11" s="93">
        <f t="shared" si="23"/>
        <v>3300</v>
      </c>
      <c r="I11" s="93">
        <f t="shared" si="24"/>
        <v>4026</v>
      </c>
      <c r="J11" s="91">
        <v>1</v>
      </c>
      <c r="K11" s="93">
        <v>2640</v>
      </c>
      <c r="L11" s="93">
        <f t="shared" si="31"/>
        <v>2640</v>
      </c>
      <c r="M11" s="93">
        <f t="shared" si="32"/>
        <v>3220.7999999999997</v>
      </c>
      <c r="N11" s="91">
        <v>1</v>
      </c>
      <c r="O11" s="93">
        <v>2310</v>
      </c>
      <c r="P11" s="93">
        <f t="shared" ref="P11:P12" si="34">N11*O11</f>
        <v>2310</v>
      </c>
      <c r="Q11" s="93">
        <f t="shared" ref="Q11" si="35">P11*1.22</f>
        <v>2818.2</v>
      </c>
      <c r="R11" s="91">
        <v>2019</v>
      </c>
      <c r="S11" s="93">
        <f t="shared" ref="S11:S13" si="36">I11-Q11</f>
        <v>1207.8000000000002</v>
      </c>
      <c r="T11" s="213">
        <f t="shared" si="22"/>
        <v>0.125</v>
      </c>
      <c r="U11" s="101">
        <v>43353</v>
      </c>
      <c r="V11" s="101">
        <v>43363</v>
      </c>
      <c r="W11" s="101">
        <v>43551</v>
      </c>
      <c r="X11" s="101">
        <v>43570</v>
      </c>
      <c r="Y11" s="91" t="s">
        <v>1095</v>
      </c>
      <c r="Z11" s="91" t="s">
        <v>1096</v>
      </c>
      <c r="AA11" s="91">
        <v>7615936534</v>
      </c>
      <c r="AB11" s="91" t="s">
        <v>1027</v>
      </c>
      <c r="AC11" s="101">
        <v>43614</v>
      </c>
      <c r="AD11" s="101">
        <v>43671</v>
      </c>
      <c r="AE11" s="91" t="s">
        <v>1120</v>
      </c>
      <c r="AF11" s="91" t="s">
        <v>1468</v>
      </c>
      <c r="AG11" s="91" t="s">
        <v>1439</v>
      </c>
      <c r="AH11" s="91" t="s">
        <v>8</v>
      </c>
      <c r="AI11" s="91" t="s">
        <v>1541</v>
      </c>
    </row>
    <row r="12" spans="1:35" ht="24" x14ac:dyDescent="0.25">
      <c r="A12" s="91">
        <v>10</v>
      </c>
      <c r="B12" s="91" t="s">
        <v>8</v>
      </c>
      <c r="C12" s="95" t="s">
        <v>53</v>
      </c>
      <c r="D12" s="92" t="s">
        <v>205</v>
      </c>
      <c r="E12" s="92" t="s">
        <v>522</v>
      </c>
      <c r="F12" s="91">
        <v>1</v>
      </c>
      <c r="G12" s="93">
        <v>15000</v>
      </c>
      <c r="H12" s="93">
        <f t="shared" si="23"/>
        <v>15000</v>
      </c>
      <c r="I12" s="93">
        <f t="shared" si="24"/>
        <v>18300</v>
      </c>
      <c r="J12" s="91">
        <v>1</v>
      </c>
      <c r="K12" s="93">
        <v>19950</v>
      </c>
      <c r="L12" s="93">
        <f t="shared" si="31"/>
        <v>19950</v>
      </c>
      <c r="M12" s="93">
        <f t="shared" si="32"/>
        <v>24339</v>
      </c>
      <c r="N12" s="91">
        <v>1</v>
      </c>
      <c r="O12" s="93">
        <v>19500</v>
      </c>
      <c r="P12" s="93">
        <f t="shared" si="34"/>
        <v>19500</v>
      </c>
      <c r="Q12" s="93">
        <f>P12*1.22</f>
        <v>23790</v>
      </c>
      <c r="R12" s="91">
        <v>2019</v>
      </c>
      <c r="S12" s="93">
        <f t="shared" si="36"/>
        <v>-5490</v>
      </c>
      <c r="T12" s="213">
        <f t="shared" si="22"/>
        <v>2.2556390977443663E-2</v>
      </c>
      <c r="U12" s="101">
        <v>43453</v>
      </c>
      <c r="V12" s="101">
        <v>43480</v>
      </c>
      <c r="W12" s="101">
        <v>43599</v>
      </c>
      <c r="X12" s="101">
        <v>43612</v>
      </c>
      <c r="Y12" s="91">
        <v>2182331</v>
      </c>
      <c r="Z12" s="91" t="s">
        <v>1134</v>
      </c>
      <c r="AA12" s="91" t="s">
        <v>961</v>
      </c>
      <c r="AB12" s="91" t="s">
        <v>1074</v>
      </c>
      <c r="AC12" s="101">
        <v>43668</v>
      </c>
      <c r="AD12" s="101">
        <v>43713</v>
      </c>
      <c r="AE12" s="91" t="s">
        <v>1187</v>
      </c>
      <c r="AF12" s="91" t="s">
        <v>1468</v>
      </c>
      <c r="AG12" s="91" t="s">
        <v>1397</v>
      </c>
      <c r="AH12" s="91" t="s">
        <v>8</v>
      </c>
      <c r="AI12" s="91" t="s">
        <v>1541</v>
      </c>
    </row>
    <row r="13" spans="1:35" ht="24" x14ac:dyDescent="0.25">
      <c r="A13" s="91">
        <v>11</v>
      </c>
      <c r="B13" s="91" t="s">
        <v>8</v>
      </c>
      <c r="C13" s="95" t="s">
        <v>53</v>
      </c>
      <c r="D13" s="92" t="s">
        <v>64</v>
      </c>
      <c r="E13" s="92" t="s">
        <v>220</v>
      </c>
      <c r="F13" s="91">
        <v>1</v>
      </c>
      <c r="G13" s="93">
        <v>8000</v>
      </c>
      <c r="H13" s="93">
        <f t="shared" si="23"/>
        <v>8000</v>
      </c>
      <c r="I13" s="93">
        <f t="shared" si="24"/>
        <v>9760</v>
      </c>
      <c r="J13" s="91">
        <v>1</v>
      </c>
      <c r="K13" s="93">
        <v>3920</v>
      </c>
      <c r="L13" s="93">
        <f t="shared" si="31"/>
        <v>3920</v>
      </c>
      <c r="M13" s="93">
        <f t="shared" si="32"/>
        <v>4782.3999999999996</v>
      </c>
      <c r="N13" s="91">
        <v>1</v>
      </c>
      <c r="O13" s="93">
        <v>3919</v>
      </c>
      <c r="P13" s="93">
        <f>N13*O13</f>
        <v>3919</v>
      </c>
      <c r="Q13" s="93">
        <f t="shared" ref="Q13" si="37">P13*1.22</f>
        <v>4781.18</v>
      </c>
      <c r="R13" s="91">
        <v>2017</v>
      </c>
      <c r="S13" s="93">
        <f t="shared" si="36"/>
        <v>4978.82</v>
      </c>
      <c r="T13" s="213">
        <f t="shared" si="22"/>
        <v>2.551020408161353E-4</v>
      </c>
      <c r="U13" s="101">
        <v>42866</v>
      </c>
      <c r="V13" s="101">
        <v>42866</v>
      </c>
      <c r="W13" s="101" t="s">
        <v>121</v>
      </c>
      <c r="X13" s="101">
        <v>42866</v>
      </c>
      <c r="Y13" s="91" t="s">
        <v>812</v>
      </c>
      <c r="Z13" s="91">
        <v>42866</v>
      </c>
      <c r="AA13" s="91" t="s">
        <v>686</v>
      </c>
      <c r="AB13" s="91" t="s">
        <v>121</v>
      </c>
      <c r="AC13" s="101" t="s">
        <v>813</v>
      </c>
      <c r="AD13" s="101">
        <v>42899</v>
      </c>
      <c r="AE13" s="91" t="s">
        <v>814</v>
      </c>
      <c r="AF13" s="91" t="s">
        <v>1468</v>
      </c>
      <c r="AG13" s="91" t="s">
        <v>819</v>
      </c>
      <c r="AH13" s="91" t="s">
        <v>8</v>
      </c>
      <c r="AI13" s="91" t="s">
        <v>1541</v>
      </c>
    </row>
    <row r="14" spans="1:35" ht="24" x14ac:dyDescent="0.25">
      <c r="A14" s="91">
        <v>12</v>
      </c>
      <c r="B14" s="91" t="s">
        <v>8</v>
      </c>
      <c r="C14" s="95" t="s">
        <v>53</v>
      </c>
      <c r="D14" s="92" t="s">
        <v>64</v>
      </c>
      <c r="E14" s="92" t="s">
        <v>221</v>
      </c>
      <c r="F14" s="91">
        <v>1</v>
      </c>
      <c r="G14" s="93">
        <v>15000</v>
      </c>
      <c r="H14" s="93">
        <f t="shared" si="23"/>
        <v>15000</v>
      </c>
      <c r="I14" s="93">
        <f t="shared" si="24"/>
        <v>18300</v>
      </c>
      <c r="J14" s="91">
        <v>1</v>
      </c>
      <c r="K14" s="93">
        <v>20000</v>
      </c>
      <c r="L14" s="93">
        <f t="shared" ref="L14:L17" si="38">J14*K14</f>
        <v>20000</v>
      </c>
      <c r="M14" s="93">
        <f t="shared" ref="M14:M17" si="39">L14*1.22</f>
        <v>24400</v>
      </c>
      <c r="N14" s="91">
        <v>1</v>
      </c>
      <c r="O14" s="93">
        <v>14889.49</v>
      </c>
      <c r="P14" s="93">
        <f>N14*O14</f>
        <v>14889.49</v>
      </c>
      <c r="Q14" s="93">
        <f>P14*1.22</f>
        <v>18165.177799999998</v>
      </c>
      <c r="R14" s="91">
        <v>2018</v>
      </c>
      <c r="S14" s="93">
        <f t="shared" ref="S14:S18" si="40">I14-Q14</f>
        <v>134.82220000000234</v>
      </c>
      <c r="T14" s="213">
        <f>1-Q14/M14</f>
        <v>0.25552550000000007</v>
      </c>
      <c r="U14" s="101">
        <v>43313</v>
      </c>
      <c r="V14" s="101">
        <v>43349</v>
      </c>
      <c r="W14" s="101">
        <v>43447</v>
      </c>
      <c r="X14" s="101">
        <v>43462</v>
      </c>
      <c r="Y14" s="91" t="s">
        <v>991</v>
      </c>
      <c r="Z14" s="91" t="s">
        <v>1133</v>
      </c>
      <c r="AA14" s="91" t="s">
        <v>992</v>
      </c>
      <c r="AB14" s="91" t="s">
        <v>993</v>
      </c>
      <c r="AC14" s="101">
        <v>43170</v>
      </c>
      <c r="AD14" s="101">
        <v>43170</v>
      </c>
      <c r="AE14" s="91" t="s">
        <v>1121</v>
      </c>
      <c r="AF14" s="91" t="s">
        <v>1468</v>
      </c>
      <c r="AG14" s="91" t="s">
        <v>1440</v>
      </c>
      <c r="AH14" s="91" t="s">
        <v>8</v>
      </c>
      <c r="AI14" s="91" t="s">
        <v>1541</v>
      </c>
    </row>
    <row r="15" spans="1:35" ht="24" x14ac:dyDescent="0.25">
      <c r="A15" s="91">
        <v>13</v>
      </c>
      <c r="B15" s="91" t="s">
        <v>8</v>
      </c>
      <c r="C15" s="95" t="s">
        <v>53</v>
      </c>
      <c r="D15" s="92" t="s">
        <v>64</v>
      </c>
      <c r="E15" s="92" t="s">
        <v>222</v>
      </c>
      <c r="F15" s="91">
        <v>1</v>
      </c>
      <c r="G15" s="93">
        <v>30000</v>
      </c>
      <c r="H15" s="93">
        <f t="shared" si="23"/>
        <v>30000</v>
      </c>
      <c r="I15" s="93">
        <f t="shared" si="24"/>
        <v>36600</v>
      </c>
      <c r="J15" s="91">
        <v>1</v>
      </c>
      <c r="K15" s="93">
        <v>27000</v>
      </c>
      <c r="L15" s="93">
        <f t="shared" si="38"/>
        <v>27000</v>
      </c>
      <c r="M15" s="93">
        <f t="shared" si="39"/>
        <v>32940</v>
      </c>
      <c r="N15" s="91">
        <v>1</v>
      </c>
      <c r="O15" s="93">
        <v>22451.8</v>
      </c>
      <c r="P15" s="93">
        <f>N15*O15</f>
        <v>22451.8</v>
      </c>
      <c r="Q15" s="93">
        <f>P15*1.22</f>
        <v>27391.196</v>
      </c>
      <c r="R15" s="91">
        <v>2019</v>
      </c>
      <c r="S15" s="93">
        <f t="shared" si="40"/>
        <v>9208.8040000000001</v>
      </c>
      <c r="T15" s="213">
        <f>1-Q15/M15</f>
        <v>0.16845185185185185</v>
      </c>
      <c r="U15" s="101">
        <v>43308</v>
      </c>
      <c r="V15" s="101">
        <v>43350</v>
      </c>
      <c r="W15" s="101">
        <v>43529</v>
      </c>
      <c r="X15" s="101">
        <v>43557</v>
      </c>
      <c r="Y15" s="91" t="s">
        <v>1058</v>
      </c>
      <c r="Z15" s="91" t="s">
        <v>1119</v>
      </c>
      <c r="AA15" s="91" t="s">
        <v>1057</v>
      </c>
      <c r="AB15" s="91" t="s">
        <v>1059</v>
      </c>
      <c r="AC15" s="101">
        <v>43663</v>
      </c>
      <c r="AD15" s="101">
        <v>43664</v>
      </c>
      <c r="AE15" s="91" t="s">
        <v>1122</v>
      </c>
      <c r="AF15" s="91" t="s">
        <v>1468</v>
      </c>
      <c r="AG15" s="91" t="s">
        <v>1429</v>
      </c>
      <c r="AH15" s="91" t="s">
        <v>8</v>
      </c>
      <c r="AI15" s="91" t="s">
        <v>1541</v>
      </c>
    </row>
    <row r="16" spans="1:35" ht="24" x14ac:dyDescent="0.25">
      <c r="A16" s="6">
        <v>14</v>
      </c>
      <c r="B16" s="6" t="s">
        <v>8</v>
      </c>
      <c r="C16" s="5" t="s">
        <v>53</v>
      </c>
      <c r="D16" s="5" t="s">
        <v>64</v>
      </c>
      <c r="E16" s="5" t="s">
        <v>223</v>
      </c>
      <c r="F16" s="6">
        <v>1</v>
      </c>
      <c r="G16" s="7">
        <v>45000</v>
      </c>
      <c r="H16" s="7">
        <f t="shared" si="23"/>
        <v>45000</v>
      </c>
      <c r="I16" s="7">
        <f t="shared" si="24"/>
        <v>54900</v>
      </c>
      <c r="J16" s="6"/>
      <c r="K16" s="7"/>
      <c r="L16" s="7"/>
      <c r="M16" s="7"/>
      <c r="N16" s="6"/>
      <c r="O16" s="7"/>
      <c r="P16" s="6"/>
      <c r="Q16" s="6"/>
      <c r="R16" s="6"/>
      <c r="S16" s="7">
        <f t="shared" si="40"/>
        <v>54900</v>
      </c>
      <c r="T16" s="54"/>
      <c r="U16" s="6"/>
      <c r="V16" s="6"/>
      <c r="W16" s="20"/>
      <c r="X16" s="20"/>
      <c r="Y16" s="6"/>
      <c r="Z16" s="6"/>
      <c r="AA16" s="6"/>
      <c r="AB16" s="6"/>
      <c r="AC16" s="6"/>
      <c r="AD16" s="6"/>
      <c r="AE16" s="5"/>
      <c r="AF16" s="6"/>
      <c r="AG16" s="6"/>
      <c r="AH16" s="6" t="s">
        <v>8</v>
      </c>
      <c r="AI16" s="6" t="s">
        <v>1561</v>
      </c>
    </row>
    <row r="17" spans="1:35" ht="24" x14ac:dyDescent="0.25">
      <c r="A17" s="91">
        <v>15</v>
      </c>
      <c r="B17" s="91" t="s">
        <v>8</v>
      </c>
      <c r="C17" s="95" t="s">
        <v>53</v>
      </c>
      <c r="D17" s="92" t="s">
        <v>64</v>
      </c>
      <c r="E17" s="92" t="s">
        <v>224</v>
      </c>
      <c r="F17" s="91">
        <v>1</v>
      </c>
      <c r="G17" s="93">
        <v>6000</v>
      </c>
      <c r="H17" s="93">
        <f t="shared" si="23"/>
        <v>6000</v>
      </c>
      <c r="I17" s="93">
        <f t="shared" si="24"/>
        <v>7320</v>
      </c>
      <c r="J17" s="91">
        <v>1</v>
      </c>
      <c r="K17" s="93">
        <v>6000</v>
      </c>
      <c r="L17" s="93">
        <f t="shared" si="38"/>
        <v>6000</v>
      </c>
      <c r="M17" s="93">
        <f t="shared" si="39"/>
        <v>7320</v>
      </c>
      <c r="N17" s="91">
        <v>1</v>
      </c>
      <c r="O17" s="93">
        <v>4740</v>
      </c>
      <c r="P17" s="93">
        <f>N17*O17</f>
        <v>4740</v>
      </c>
      <c r="Q17" s="93">
        <f>P17*1.22</f>
        <v>5782.8</v>
      </c>
      <c r="R17" s="91">
        <v>2019</v>
      </c>
      <c r="S17" s="93">
        <f t="shared" si="40"/>
        <v>1537.1999999999998</v>
      </c>
      <c r="T17" s="213">
        <f>1-Q17/M17</f>
        <v>0.20999999999999996</v>
      </c>
      <c r="U17" s="101">
        <v>43308</v>
      </c>
      <c r="V17" s="101">
        <v>43350</v>
      </c>
      <c r="W17" s="101">
        <v>43529</v>
      </c>
      <c r="X17" s="101">
        <v>43557</v>
      </c>
      <c r="Y17" s="91" t="s">
        <v>1058</v>
      </c>
      <c r="Z17" s="91" t="s">
        <v>1119</v>
      </c>
      <c r="AA17" s="91" t="s">
        <v>1057</v>
      </c>
      <c r="AB17" s="91" t="s">
        <v>1063</v>
      </c>
      <c r="AC17" s="101">
        <v>43663</v>
      </c>
      <c r="AD17" s="101">
        <v>43664</v>
      </c>
      <c r="AE17" s="91" t="s">
        <v>1122</v>
      </c>
      <c r="AF17" s="91" t="s">
        <v>1468</v>
      </c>
      <c r="AG17" s="91" t="s">
        <v>1429</v>
      </c>
      <c r="AH17" s="91" t="s">
        <v>8</v>
      </c>
      <c r="AI17" s="91" t="s">
        <v>1541</v>
      </c>
    </row>
    <row r="18" spans="1:35" ht="24" x14ac:dyDescent="0.25">
      <c r="A18" s="6">
        <v>16</v>
      </c>
      <c r="B18" s="6" t="s">
        <v>8</v>
      </c>
      <c r="C18" s="5" t="s">
        <v>53</v>
      </c>
      <c r="D18" s="5" t="s">
        <v>64</v>
      </c>
      <c r="E18" s="5" t="s">
        <v>209</v>
      </c>
      <c r="F18" s="6">
        <v>1</v>
      </c>
      <c r="G18" s="7">
        <v>40000</v>
      </c>
      <c r="H18" s="7">
        <f t="shared" si="23"/>
        <v>40000</v>
      </c>
      <c r="I18" s="7">
        <f t="shared" si="24"/>
        <v>48800</v>
      </c>
      <c r="J18" s="6"/>
      <c r="K18" s="7"/>
      <c r="L18" s="7"/>
      <c r="M18" s="7"/>
      <c r="N18" s="6"/>
      <c r="O18" s="6"/>
      <c r="P18" s="7"/>
      <c r="Q18" s="6"/>
      <c r="R18" s="6"/>
      <c r="S18" s="7">
        <f t="shared" si="40"/>
        <v>48800</v>
      </c>
      <c r="T18" s="54"/>
      <c r="U18" s="6"/>
      <c r="V18" s="6"/>
      <c r="W18" s="20"/>
      <c r="X18" s="20"/>
      <c r="Y18" s="6"/>
      <c r="Z18" s="6"/>
      <c r="AA18" s="6"/>
      <c r="AB18" s="6"/>
      <c r="AC18" s="6"/>
      <c r="AD18" s="6"/>
      <c r="AE18" s="5"/>
      <c r="AF18" s="6"/>
      <c r="AG18" s="6"/>
      <c r="AH18" s="6" t="s">
        <v>8</v>
      </c>
      <c r="AI18" s="6" t="s">
        <v>1561</v>
      </c>
    </row>
    <row r="19" spans="1:35" ht="24" x14ac:dyDescent="0.25">
      <c r="A19" s="91">
        <v>17</v>
      </c>
      <c r="B19" s="91" t="s">
        <v>8</v>
      </c>
      <c r="C19" s="95" t="s">
        <v>53</v>
      </c>
      <c r="D19" s="92" t="s">
        <v>64</v>
      </c>
      <c r="E19" s="92" t="s">
        <v>226</v>
      </c>
      <c r="F19" s="91">
        <v>1</v>
      </c>
      <c r="G19" s="93">
        <v>20000</v>
      </c>
      <c r="H19" s="93">
        <f t="shared" si="23"/>
        <v>20000</v>
      </c>
      <c r="I19" s="93">
        <f t="shared" si="24"/>
        <v>24400</v>
      </c>
      <c r="J19" s="91">
        <v>1</v>
      </c>
      <c r="K19" s="93">
        <v>16000</v>
      </c>
      <c r="L19" s="93">
        <v>16000</v>
      </c>
      <c r="M19" s="93">
        <f>L19*1.22</f>
        <v>19520</v>
      </c>
      <c r="N19" s="91">
        <v>1</v>
      </c>
      <c r="O19" s="93">
        <v>15105</v>
      </c>
      <c r="P19" s="93">
        <f t="shared" ref="P19:P20" si="41">N19*O19</f>
        <v>15105</v>
      </c>
      <c r="Q19" s="93">
        <f>P19*1.22</f>
        <v>18428.099999999999</v>
      </c>
      <c r="R19" s="91">
        <v>2019</v>
      </c>
      <c r="S19" s="93">
        <f t="shared" ref="S19:S23" si="42">I19-Q19</f>
        <v>5971.9000000000015</v>
      </c>
      <c r="T19" s="213">
        <f>1-Q19/M19</f>
        <v>5.5937500000000084E-2</v>
      </c>
      <c r="U19" s="101">
        <v>43384</v>
      </c>
      <c r="V19" s="101">
        <v>43399</v>
      </c>
      <c r="W19" s="101">
        <v>43482</v>
      </c>
      <c r="X19" s="101">
        <v>43535</v>
      </c>
      <c r="Y19" s="91" t="s">
        <v>1196</v>
      </c>
      <c r="Z19" s="91" t="s">
        <v>1113</v>
      </c>
      <c r="AA19" s="91" t="s">
        <v>972</v>
      </c>
      <c r="AB19" s="91" t="s">
        <v>1190</v>
      </c>
      <c r="AC19" s="101" t="s">
        <v>1112</v>
      </c>
      <c r="AD19" s="101">
        <v>43791</v>
      </c>
      <c r="AE19" s="91" t="s">
        <v>1262</v>
      </c>
      <c r="AF19" s="91" t="s">
        <v>1468</v>
      </c>
      <c r="AG19" s="91" t="s">
        <v>1530</v>
      </c>
      <c r="AH19" s="91" t="s">
        <v>8</v>
      </c>
      <c r="AI19" s="91" t="s">
        <v>1541</v>
      </c>
    </row>
    <row r="20" spans="1:35" ht="24" x14ac:dyDescent="0.25">
      <c r="A20" s="91">
        <v>18</v>
      </c>
      <c r="B20" s="91" t="s">
        <v>8</v>
      </c>
      <c r="C20" s="95" t="s">
        <v>53</v>
      </c>
      <c r="D20" s="92" t="s">
        <v>64</v>
      </c>
      <c r="E20" s="92" t="s">
        <v>191</v>
      </c>
      <c r="F20" s="91">
        <v>1</v>
      </c>
      <c r="G20" s="93">
        <v>1000</v>
      </c>
      <c r="H20" s="93">
        <f t="shared" si="23"/>
        <v>1000</v>
      </c>
      <c r="I20" s="93">
        <f t="shared" si="24"/>
        <v>1220</v>
      </c>
      <c r="J20" s="91">
        <v>1</v>
      </c>
      <c r="K20" s="93">
        <v>3166.66</v>
      </c>
      <c r="L20" s="93">
        <f t="shared" ref="L20" si="43">J20*K20</f>
        <v>3166.66</v>
      </c>
      <c r="M20" s="93">
        <f t="shared" ref="M20" si="44">L20*1.22</f>
        <v>3863.3251999999998</v>
      </c>
      <c r="N20" s="91">
        <v>1</v>
      </c>
      <c r="O20" s="93">
        <f>44872.6/18</f>
        <v>2492.922222222222</v>
      </c>
      <c r="P20" s="93">
        <f t="shared" si="41"/>
        <v>2492.922222222222</v>
      </c>
      <c r="Q20" s="93">
        <f t="shared" ref="Q20" si="45">P20*1.22</f>
        <v>3041.3651111111108</v>
      </c>
      <c r="R20" s="91">
        <v>2020</v>
      </c>
      <c r="S20" s="93">
        <f t="shared" si="42"/>
        <v>-1821.3651111111108</v>
      </c>
      <c r="T20" s="213">
        <f t="shared" ref="T20" si="46">1-Q20/M20</f>
        <v>0.21275974616086912</v>
      </c>
      <c r="U20" s="101">
        <v>43321</v>
      </c>
      <c r="V20" s="101" t="s">
        <v>995</v>
      </c>
      <c r="W20" s="101">
        <v>43767</v>
      </c>
      <c r="X20" s="101">
        <v>43774</v>
      </c>
      <c r="Y20" s="91" t="s">
        <v>1270</v>
      </c>
      <c r="Z20" s="91" t="s">
        <v>1197</v>
      </c>
      <c r="AA20" s="91" t="s">
        <v>996</v>
      </c>
      <c r="AB20" s="91" t="s">
        <v>1198</v>
      </c>
      <c r="AC20" s="101">
        <v>43945</v>
      </c>
      <c r="AD20" s="101">
        <v>43945</v>
      </c>
      <c r="AE20" s="91" t="s">
        <v>1306</v>
      </c>
      <c r="AF20" s="91" t="s">
        <v>1592</v>
      </c>
      <c r="AG20" s="91" t="s">
        <v>1425</v>
      </c>
      <c r="AH20" s="91" t="s">
        <v>1560</v>
      </c>
      <c r="AI20" s="91" t="s">
        <v>1541</v>
      </c>
    </row>
    <row r="21" spans="1:35" ht="36" x14ac:dyDescent="0.25">
      <c r="A21" s="91">
        <v>19</v>
      </c>
      <c r="B21" s="91" t="s">
        <v>8</v>
      </c>
      <c r="C21" s="95" t="s">
        <v>53</v>
      </c>
      <c r="D21" s="92" t="s">
        <v>64</v>
      </c>
      <c r="E21" s="92" t="s">
        <v>227</v>
      </c>
      <c r="F21" s="91">
        <v>1</v>
      </c>
      <c r="G21" s="93">
        <v>10000</v>
      </c>
      <c r="H21" s="93">
        <f t="shared" si="23"/>
        <v>10000</v>
      </c>
      <c r="I21" s="93">
        <f t="shared" si="24"/>
        <v>12200</v>
      </c>
      <c r="J21" s="91">
        <v>1</v>
      </c>
      <c r="K21" s="93">
        <v>19000</v>
      </c>
      <c r="L21" s="93">
        <f>K21*J21</f>
        <v>19000</v>
      </c>
      <c r="M21" s="93">
        <f>L21*1.22</f>
        <v>23180</v>
      </c>
      <c r="N21" s="91">
        <v>1</v>
      </c>
      <c r="O21" s="93">
        <v>14883.85</v>
      </c>
      <c r="P21" s="93">
        <f>O21*N21</f>
        <v>14883.85</v>
      </c>
      <c r="Q21" s="93">
        <f>P21*1.22</f>
        <v>18158.296999999999</v>
      </c>
      <c r="R21" s="91">
        <v>2019</v>
      </c>
      <c r="S21" s="93">
        <f t="shared" si="42"/>
        <v>-5958.2969999999987</v>
      </c>
      <c r="T21" s="213">
        <f>1-Q21/M21</f>
        <v>0.21663947368421055</v>
      </c>
      <c r="U21" s="101">
        <v>43342</v>
      </c>
      <c r="V21" s="101">
        <v>43361</v>
      </c>
      <c r="W21" s="101">
        <v>43529</v>
      </c>
      <c r="X21" s="101">
        <v>43545</v>
      </c>
      <c r="Y21" s="91" t="s">
        <v>1061</v>
      </c>
      <c r="Z21" s="91" t="s">
        <v>1168</v>
      </c>
      <c r="AA21" s="91" t="s">
        <v>1062</v>
      </c>
      <c r="AB21" s="91" t="s">
        <v>1189</v>
      </c>
      <c r="AC21" s="101" t="s">
        <v>1188</v>
      </c>
      <c r="AD21" s="101">
        <v>43859</v>
      </c>
      <c r="AE21" s="91" t="s">
        <v>1169</v>
      </c>
      <c r="AF21" s="91" t="s">
        <v>1468</v>
      </c>
      <c r="AG21" s="91" t="s">
        <v>1430</v>
      </c>
      <c r="AH21" s="91" t="s">
        <v>8</v>
      </c>
      <c r="AI21" s="91" t="s">
        <v>1541</v>
      </c>
    </row>
    <row r="22" spans="1:35" ht="25.5" customHeight="1" x14ac:dyDescent="0.25">
      <c r="A22" s="6">
        <v>20</v>
      </c>
      <c r="B22" s="6" t="s">
        <v>8</v>
      </c>
      <c r="C22" s="5" t="s">
        <v>53</v>
      </c>
      <c r="D22" s="5" t="s">
        <v>64</v>
      </c>
      <c r="E22" s="5" t="s">
        <v>228</v>
      </c>
      <c r="F22" s="6">
        <v>1</v>
      </c>
      <c r="G22" s="7">
        <v>25000</v>
      </c>
      <c r="H22" s="7">
        <f t="shared" si="23"/>
        <v>25000</v>
      </c>
      <c r="I22" s="7">
        <f t="shared" si="24"/>
        <v>30500</v>
      </c>
      <c r="J22" s="6"/>
      <c r="K22" s="7"/>
      <c r="L22" s="7"/>
      <c r="M22" s="7"/>
      <c r="N22" s="6"/>
      <c r="O22" s="6"/>
      <c r="P22" s="6"/>
      <c r="Q22" s="6"/>
      <c r="R22" s="6"/>
      <c r="S22" s="7">
        <f t="shared" si="42"/>
        <v>30500</v>
      </c>
      <c r="T22" s="54"/>
      <c r="U22" s="6"/>
      <c r="V22" s="6"/>
      <c r="W22" s="20"/>
      <c r="X22" s="20"/>
      <c r="Y22" s="6"/>
      <c r="Z22" s="6"/>
      <c r="AA22" s="6"/>
      <c r="AB22" s="6"/>
      <c r="AC22" s="6"/>
      <c r="AD22" s="6"/>
      <c r="AE22" s="5"/>
      <c r="AF22" s="6"/>
      <c r="AG22" s="6"/>
      <c r="AH22" s="6" t="s">
        <v>8</v>
      </c>
      <c r="AI22" s="6" t="s">
        <v>1552</v>
      </c>
    </row>
    <row r="23" spans="1:35" ht="36" x14ac:dyDescent="0.25">
      <c r="A23" s="91">
        <v>21</v>
      </c>
      <c r="B23" s="91" t="s">
        <v>8</v>
      </c>
      <c r="C23" s="95" t="s">
        <v>53</v>
      </c>
      <c r="D23" s="92" t="s">
        <v>64</v>
      </c>
      <c r="E23" s="92" t="s">
        <v>230</v>
      </c>
      <c r="F23" s="91">
        <v>2</v>
      </c>
      <c r="G23" s="93">
        <v>5000</v>
      </c>
      <c r="H23" s="93">
        <f t="shared" si="23"/>
        <v>10000</v>
      </c>
      <c r="I23" s="93">
        <f t="shared" si="24"/>
        <v>12200</v>
      </c>
      <c r="J23" s="91">
        <v>4</v>
      </c>
      <c r="K23" s="93" t="s">
        <v>1089</v>
      </c>
      <c r="L23" s="93">
        <v>14000</v>
      </c>
      <c r="M23" s="93">
        <f>L23*1.22</f>
        <v>17080</v>
      </c>
      <c r="N23" s="91">
        <v>4</v>
      </c>
      <c r="O23" s="93" t="s">
        <v>1090</v>
      </c>
      <c r="P23" s="93">
        <f>9851.82+3776.5</f>
        <v>13628.32</v>
      </c>
      <c r="Q23" s="93">
        <f>P23*1.22</f>
        <v>16626.5504</v>
      </c>
      <c r="R23" s="91">
        <v>2019</v>
      </c>
      <c r="S23" s="93">
        <f t="shared" si="42"/>
        <v>-4426.5504000000001</v>
      </c>
      <c r="T23" s="213">
        <f>1-Q23/M23</f>
        <v>2.6548571428571477E-2</v>
      </c>
      <c r="U23" s="101">
        <v>43446</v>
      </c>
      <c r="V23" s="101">
        <v>43473</v>
      </c>
      <c r="W23" s="101">
        <v>43524</v>
      </c>
      <c r="X23" s="101">
        <v>43619</v>
      </c>
      <c r="Y23" s="91" t="s">
        <v>1086</v>
      </c>
      <c r="Z23" s="91" t="s">
        <v>1088</v>
      </c>
      <c r="AA23" s="91" t="s">
        <v>970</v>
      </c>
      <c r="AB23" s="91" t="s">
        <v>1087</v>
      </c>
      <c r="AC23" s="101">
        <v>43664</v>
      </c>
      <c r="AD23" s="101">
        <v>43664</v>
      </c>
      <c r="AE23" s="91" t="s">
        <v>1118</v>
      </c>
      <c r="AF23" s="91" t="s">
        <v>1468</v>
      </c>
      <c r="AG23" s="91" t="s">
        <v>1431</v>
      </c>
      <c r="AH23" s="91" t="s">
        <v>8</v>
      </c>
      <c r="AI23" s="91" t="s">
        <v>1541</v>
      </c>
    </row>
    <row r="24" spans="1:35" ht="48" x14ac:dyDescent="0.25">
      <c r="A24" s="91">
        <v>22</v>
      </c>
      <c r="B24" s="91" t="s">
        <v>8</v>
      </c>
      <c r="C24" s="95" t="s">
        <v>53</v>
      </c>
      <c r="D24" s="92" t="s">
        <v>64</v>
      </c>
      <c r="E24" s="92" t="s">
        <v>208</v>
      </c>
      <c r="F24" s="91">
        <v>1</v>
      </c>
      <c r="G24" s="93">
        <v>30000</v>
      </c>
      <c r="H24" s="93">
        <f t="shared" si="23"/>
        <v>30000</v>
      </c>
      <c r="I24" s="93">
        <f t="shared" si="24"/>
        <v>36600</v>
      </c>
      <c r="J24" s="91">
        <v>1</v>
      </c>
      <c r="K24" s="93">
        <v>20000</v>
      </c>
      <c r="L24" s="93">
        <f t="shared" ref="L24:L28" si="47">J24*K24</f>
        <v>20000</v>
      </c>
      <c r="M24" s="93">
        <f t="shared" ref="M24:M28" si="48">L24*1.22</f>
        <v>24400</v>
      </c>
      <c r="N24" s="91">
        <v>1</v>
      </c>
      <c r="O24" s="93">
        <v>19797.7</v>
      </c>
      <c r="P24" s="93">
        <f>O24*N24</f>
        <v>19797.7</v>
      </c>
      <c r="Q24" s="93">
        <f>P24*1.22</f>
        <v>24153.194</v>
      </c>
      <c r="R24" s="91">
        <v>2019</v>
      </c>
      <c r="S24" s="93">
        <f t="shared" ref="S24" si="49">I24-Q24</f>
        <v>12446.806</v>
      </c>
      <c r="T24" s="213">
        <f>1-Q24/M24</f>
        <v>1.0114999999999985E-2</v>
      </c>
      <c r="U24" s="101">
        <v>43325</v>
      </c>
      <c r="V24" s="101">
        <v>43350</v>
      </c>
      <c r="W24" s="101">
        <v>43529</v>
      </c>
      <c r="X24" s="101">
        <v>43549</v>
      </c>
      <c r="Y24" s="91" t="s">
        <v>1124</v>
      </c>
      <c r="Z24" s="91" t="s">
        <v>1125</v>
      </c>
      <c r="AA24" s="91" t="s">
        <v>1123</v>
      </c>
      <c r="AB24" s="91" t="s">
        <v>1191</v>
      </c>
      <c r="AC24" s="101">
        <v>43670</v>
      </c>
      <c r="AD24" s="101">
        <v>43671</v>
      </c>
      <c r="AE24" s="91" t="s">
        <v>1126</v>
      </c>
      <c r="AF24" s="91" t="s">
        <v>1468</v>
      </c>
      <c r="AG24" s="91" t="s">
        <v>1432</v>
      </c>
      <c r="AH24" s="91" t="s">
        <v>8</v>
      </c>
      <c r="AI24" s="91" t="s">
        <v>1541</v>
      </c>
    </row>
    <row r="25" spans="1:35" ht="36" x14ac:dyDescent="0.25">
      <c r="A25" s="91">
        <v>23</v>
      </c>
      <c r="B25" s="91" t="s">
        <v>8</v>
      </c>
      <c r="C25" s="95" t="s">
        <v>53</v>
      </c>
      <c r="D25" s="92" t="s">
        <v>291</v>
      </c>
      <c r="E25" s="92" t="s">
        <v>193</v>
      </c>
      <c r="F25" s="91">
        <v>1</v>
      </c>
      <c r="G25" s="93">
        <v>50000</v>
      </c>
      <c r="H25" s="93">
        <f t="shared" si="23"/>
        <v>50000</v>
      </c>
      <c r="I25" s="93">
        <f t="shared" si="24"/>
        <v>61000</v>
      </c>
      <c r="J25" s="91">
        <v>1</v>
      </c>
      <c r="K25" s="93">
        <v>40000</v>
      </c>
      <c r="L25" s="93">
        <f t="shared" si="47"/>
        <v>40000</v>
      </c>
      <c r="M25" s="93">
        <f t="shared" si="48"/>
        <v>48800</v>
      </c>
      <c r="N25" s="91">
        <v>1</v>
      </c>
      <c r="O25" s="93">
        <v>39626.080000000002</v>
      </c>
      <c r="P25" s="93">
        <f t="shared" ref="P25" si="50">O25*N25</f>
        <v>39626.080000000002</v>
      </c>
      <c r="Q25" s="93">
        <f t="shared" ref="Q25:Q28" si="51">P25*1.22</f>
        <v>48343.817600000002</v>
      </c>
      <c r="R25" s="91">
        <v>2019</v>
      </c>
      <c r="S25" s="93">
        <f t="shared" ref="S25" si="52">I25-Q25</f>
        <v>12656.182399999998</v>
      </c>
      <c r="T25" s="213">
        <f t="shared" ref="T25" si="53">1-Q25/M25</f>
        <v>9.3479999999999119E-3</v>
      </c>
      <c r="U25" s="101">
        <v>43248</v>
      </c>
      <c r="V25" s="101">
        <v>43283</v>
      </c>
      <c r="W25" s="101">
        <v>43514</v>
      </c>
      <c r="X25" s="101">
        <v>43559</v>
      </c>
      <c r="Y25" s="91" t="s">
        <v>1157</v>
      </c>
      <c r="Z25" s="91" t="s">
        <v>1159</v>
      </c>
      <c r="AA25" s="91" t="s">
        <v>1174</v>
      </c>
      <c r="AB25" s="91" t="s">
        <v>1001</v>
      </c>
      <c r="AC25" s="101">
        <v>43763</v>
      </c>
      <c r="AD25" s="101">
        <v>43871</v>
      </c>
      <c r="AE25" s="91" t="s">
        <v>1402</v>
      </c>
      <c r="AF25" s="91" t="s">
        <v>1468</v>
      </c>
      <c r="AG25" s="91" t="s">
        <v>1403</v>
      </c>
      <c r="AH25" s="91" t="s">
        <v>1560</v>
      </c>
      <c r="AI25" s="91" t="s">
        <v>1541</v>
      </c>
    </row>
    <row r="26" spans="1:35" ht="24" x14ac:dyDescent="0.25">
      <c r="A26" s="91">
        <v>24</v>
      </c>
      <c r="B26" s="91" t="s">
        <v>8</v>
      </c>
      <c r="C26" s="95" t="s">
        <v>53</v>
      </c>
      <c r="D26" s="92" t="s">
        <v>291</v>
      </c>
      <c r="E26" s="92" t="s">
        <v>298</v>
      </c>
      <c r="F26" s="91">
        <v>1</v>
      </c>
      <c r="G26" s="93">
        <v>7500</v>
      </c>
      <c r="H26" s="93">
        <f t="shared" si="23"/>
        <v>7500</v>
      </c>
      <c r="I26" s="93">
        <f t="shared" si="24"/>
        <v>9150</v>
      </c>
      <c r="J26" s="91">
        <v>1</v>
      </c>
      <c r="K26" s="93">
        <v>7500</v>
      </c>
      <c r="L26" s="93">
        <f t="shared" si="47"/>
        <v>7500</v>
      </c>
      <c r="M26" s="93">
        <f t="shared" si="48"/>
        <v>9150</v>
      </c>
      <c r="N26" s="91">
        <v>1</v>
      </c>
      <c r="O26" s="93">
        <v>7500</v>
      </c>
      <c r="P26" s="93">
        <f t="shared" ref="P26:P28" si="54">N26*O26</f>
        <v>7500</v>
      </c>
      <c r="Q26" s="93">
        <f t="shared" si="51"/>
        <v>9150</v>
      </c>
      <c r="R26" s="91">
        <v>2018</v>
      </c>
      <c r="S26" s="93">
        <f t="shared" ref="S26:S27" si="55">I26-Q26</f>
        <v>0</v>
      </c>
      <c r="T26" s="213">
        <f t="shared" ref="T26:T27" si="56">1-Q26/M26</f>
        <v>0</v>
      </c>
      <c r="U26" s="101">
        <v>43244</v>
      </c>
      <c r="V26" s="101">
        <v>43262</v>
      </c>
      <c r="W26" s="101">
        <v>43270</v>
      </c>
      <c r="X26" s="101">
        <v>43339</v>
      </c>
      <c r="Y26" s="91" t="s">
        <v>1034</v>
      </c>
      <c r="Z26" s="91" t="s">
        <v>1463</v>
      </c>
      <c r="AA26" s="91" t="s">
        <v>1028</v>
      </c>
      <c r="AB26" s="91" t="s">
        <v>1029</v>
      </c>
      <c r="AC26" s="101">
        <v>43416</v>
      </c>
      <c r="AD26" s="101">
        <v>43420</v>
      </c>
      <c r="AE26" s="91" t="s">
        <v>1030</v>
      </c>
      <c r="AF26" s="91" t="s">
        <v>1468</v>
      </c>
      <c r="AG26" s="91" t="s">
        <v>1433</v>
      </c>
      <c r="AH26" s="91" t="s">
        <v>8</v>
      </c>
      <c r="AI26" s="91" t="s">
        <v>1541</v>
      </c>
    </row>
    <row r="27" spans="1:35" ht="24" x14ac:dyDescent="0.25">
      <c r="A27" s="91">
        <v>25</v>
      </c>
      <c r="B27" s="91" t="s">
        <v>8</v>
      </c>
      <c r="C27" s="95" t="s">
        <v>53</v>
      </c>
      <c r="D27" s="92" t="s">
        <v>39</v>
      </c>
      <c r="E27" s="92" t="s">
        <v>647</v>
      </c>
      <c r="F27" s="91">
        <v>1</v>
      </c>
      <c r="G27" s="93">
        <v>85000</v>
      </c>
      <c r="H27" s="93">
        <f t="shared" si="23"/>
        <v>85000</v>
      </c>
      <c r="I27" s="93">
        <f t="shared" si="24"/>
        <v>103700</v>
      </c>
      <c r="J27" s="91">
        <v>1</v>
      </c>
      <c r="K27" s="93">
        <v>70000</v>
      </c>
      <c r="L27" s="93">
        <f t="shared" si="47"/>
        <v>70000</v>
      </c>
      <c r="M27" s="93">
        <f t="shared" si="48"/>
        <v>85400</v>
      </c>
      <c r="N27" s="91">
        <v>1</v>
      </c>
      <c r="O27" s="93">
        <v>69000</v>
      </c>
      <c r="P27" s="93">
        <f t="shared" si="54"/>
        <v>69000</v>
      </c>
      <c r="Q27" s="93">
        <f t="shared" si="51"/>
        <v>84180</v>
      </c>
      <c r="R27" s="91">
        <v>2018</v>
      </c>
      <c r="S27" s="93">
        <f t="shared" si="55"/>
        <v>19520</v>
      </c>
      <c r="T27" s="213">
        <f t="shared" si="56"/>
        <v>1.4285714285714235E-2</v>
      </c>
      <c r="U27" s="101">
        <v>43256</v>
      </c>
      <c r="V27" s="101">
        <v>43266</v>
      </c>
      <c r="W27" s="101">
        <v>43286</v>
      </c>
      <c r="X27" s="101">
        <v>43322</v>
      </c>
      <c r="Y27" s="91" t="s">
        <v>1033</v>
      </c>
      <c r="Z27" s="91" t="s">
        <v>1461</v>
      </c>
      <c r="AA27" s="91" t="s">
        <v>1032</v>
      </c>
      <c r="AB27" s="91" t="s">
        <v>1031</v>
      </c>
      <c r="AC27" s="101">
        <v>43444</v>
      </c>
      <c r="AD27" s="101">
        <v>43448</v>
      </c>
      <c r="AE27" s="91" t="s">
        <v>1462</v>
      </c>
      <c r="AF27" s="91" t="s">
        <v>1468</v>
      </c>
      <c r="AG27" s="91" t="s">
        <v>1531</v>
      </c>
      <c r="AH27" s="91" t="s">
        <v>8</v>
      </c>
      <c r="AI27" s="91" t="s">
        <v>1541</v>
      </c>
    </row>
    <row r="28" spans="1:35" ht="24" x14ac:dyDescent="0.25">
      <c r="A28" s="91">
        <v>26</v>
      </c>
      <c r="B28" s="91" t="s">
        <v>8</v>
      </c>
      <c r="C28" s="95" t="s">
        <v>53</v>
      </c>
      <c r="D28" s="92" t="s">
        <v>28</v>
      </c>
      <c r="E28" s="92" t="s">
        <v>29</v>
      </c>
      <c r="F28" s="91">
        <v>1</v>
      </c>
      <c r="G28" s="93">
        <v>67500</v>
      </c>
      <c r="H28" s="93">
        <f t="shared" si="23"/>
        <v>67500</v>
      </c>
      <c r="I28" s="93">
        <f t="shared" si="24"/>
        <v>82350</v>
      </c>
      <c r="J28" s="91">
        <v>1</v>
      </c>
      <c r="K28" s="93">
        <v>67500</v>
      </c>
      <c r="L28" s="93">
        <f t="shared" si="47"/>
        <v>67500</v>
      </c>
      <c r="M28" s="93">
        <f t="shared" si="48"/>
        <v>82350</v>
      </c>
      <c r="N28" s="91">
        <v>1</v>
      </c>
      <c r="O28" s="93">
        <v>66250</v>
      </c>
      <c r="P28" s="93">
        <f t="shared" si="54"/>
        <v>66250</v>
      </c>
      <c r="Q28" s="93">
        <f t="shared" si="51"/>
        <v>80825</v>
      </c>
      <c r="R28" s="91">
        <v>2019</v>
      </c>
      <c r="S28" s="93">
        <f t="shared" ref="S28" si="57">I28-Q28</f>
        <v>1525</v>
      </c>
      <c r="T28" s="213">
        <f t="shared" ref="T28" si="58">1-Q28/M28</f>
        <v>1.851851851851849E-2</v>
      </c>
      <c r="U28" s="101">
        <v>43224</v>
      </c>
      <c r="V28" s="101" t="s">
        <v>997</v>
      </c>
      <c r="W28" s="101">
        <v>43493</v>
      </c>
      <c r="X28" s="101">
        <v>43513</v>
      </c>
      <c r="Y28" s="91" t="s">
        <v>1388</v>
      </c>
      <c r="Z28" s="91" t="s">
        <v>1464</v>
      </c>
      <c r="AA28" s="91">
        <v>7466469522</v>
      </c>
      <c r="AB28" s="91" t="s">
        <v>1026</v>
      </c>
      <c r="AC28" s="101">
        <v>43607</v>
      </c>
      <c r="AD28" s="101">
        <v>43615</v>
      </c>
      <c r="AE28" s="91" t="s">
        <v>1373</v>
      </c>
      <c r="AF28" s="91" t="s">
        <v>1468</v>
      </c>
      <c r="AG28" s="91" t="s">
        <v>1414</v>
      </c>
      <c r="AH28" s="91" t="s">
        <v>1560</v>
      </c>
      <c r="AI28" s="91" t="s">
        <v>1541</v>
      </c>
    </row>
    <row r="29" spans="1:35" ht="24" x14ac:dyDescent="0.25">
      <c r="A29" s="91">
        <v>27</v>
      </c>
      <c r="B29" s="91" t="s">
        <v>8</v>
      </c>
      <c r="C29" s="95" t="s">
        <v>53</v>
      </c>
      <c r="D29" s="92" t="s">
        <v>28</v>
      </c>
      <c r="E29" s="92" t="s">
        <v>30</v>
      </c>
      <c r="F29" s="91">
        <v>3</v>
      </c>
      <c r="G29" s="93">
        <v>36000</v>
      </c>
      <c r="H29" s="93">
        <f t="shared" si="23"/>
        <v>108000</v>
      </c>
      <c r="I29" s="93">
        <f t="shared" si="24"/>
        <v>131760</v>
      </c>
      <c r="J29" s="91">
        <v>3</v>
      </c>
      <c r="K29" s="93">
        <v>36000</v>
      </c>
      <c r="L29" s="93">
        <f t="shared" ref="L29" si="59">J29*K29</f>
        <v>108000</v>
      </c>
      <c r="M29" s="93">
        <f t="shared" ref="M29" si="60">L29*1.22</f>
        <v>131760</v>
      </c>
      <c r="N29" s="91">
        <v>3</v>
      </c>
      <c r="O29" s="93">
        <v>35980</v>
      </c>
      <c r="P29" s="93">
        <f t="shared" ref="P29:P31" si="61">N29*O29</f>
        <v>107940</v>
      </c>
      <c r="Q29" s="93">
        <f t="shared" ref="Q29:Q31" si="62">P29*1.22</f>
        <v>131686.79999999999</v>
      </c>
      <c r="R29" s="91">
        <v>2019</v>
      </c>
      <c r="S29" s="93">
        <f t="shared" ref="S29" si="63">I29-Q29</f>
        <v>73.200000000011642</v>
      </c>
      <c r="T29" s="213">
        <f t="shared" ref="T29" si="64">1-Q29/M29</f>
        <v>5.555555555556424E-4</v>
      </c>
      <c r="U29" s="101">
        <v>43224</v>
      </c>
      <c r="V29" s="101" t="s">
        <v>997</v>
      </c>
      <c r="W29" s="101">
        <v>43493</v>
      </c>
      <c r="X29" s="101">
        <v>43513</v>
      </c>
      <c r="Y29" s="91" t="s">
        <v>1385</v>
      </c>
      <c r="Z29" s="91" t="s">
        <v>1386</v>
      </c>
      <c r="AA29" s="91" t="s">
        <v>998</v>
      </c>
      <c r="AB29" s="91" t="s">
        <v>1026</v>
      </c>
      <c r="AC29" s="101" t="s">
        <v>1387</v>
      </c>
      <c r="AD29" s="101">
        <v>43805</v>
      </c>
      <c r="AE29" s="91" t="s">
        <v>1324</v>
      </c>
      <c r="AF29" s="91" t="s">
        <v>1468</v>
      </c>
      <c r="AG29" s="91" t="s">
        <v>1426</v>
      </c>
      <c r="AH29" s="91" t="s">
        <v>1560</v>
      </c>
      <c r="AI29" s="91" t="s">
        <v>1541</v>
      </c>
    </row>
    <row r="30" spans="1:35" ht="36" x14ac:dyDescent="0.25">
      <c r="A30" s="91">
        <v>28</v>
      </c>
      <c r="B30" s="91" t="s">
        <v>8</v>
      </c>
      <c r="C30" s="95" t="s">
        <v>53</v>
      </c>
      <c r="D30" s="92" t="s">
        <v>28</v>
      </c>
      <c r="E30" s="92" t="s">
        <v>233</v>
      </c>
      <c r="F30" s="91">
        <v>1</v>
      </c>
      <c r="G30" s="93">
        <v>70000</v>
      </c>
      <c r="H30" s="93">
        <f t="shared" si="23"/>
        <v>70000</v>
      </c>
      <c r="I30" s="93">
        <f t="shared" si="24"/>
        <v>85400</v>
      </c>
      <c r="J30" s="91">
        <v>1</v>
      </c>
      <c r="K30" s="93">
        <v>92500</v>
      </c>
      <c r="L30" s="93">
        <f t="shared" ref="L30" si="65">J30*K30</f>
        <v>92500</v>
      </c>
      <c r="M30" s="93">
        <f t="shared" ref="M30" si="66">L30*1.22</f>
        <v>112850</v>
      </c>
      <c r="N30" s="91">
        <v>1</v>
      </c>
      <c r="O30" s="93">
        <v>74866.02</v>
      </c>
      <c r="P30" s="93">
        <f t="shared" si="61"/>
        <v>74866.02</v>
      </c>
      <c r="Q30" s="93">
        <f t="shared" si="62"/>
        <v>91336.544399999999</v>
      </c>
      <c r="R30" s="91">
        <v>2019</v>
      </c>
      <c r="S30" s="93">
        <f>I30-Q30</f>
        <v>-5936.5443999999989</v>
      </c>
      <c r="T30" s="213">
        <f t="shared" ref="T30" si="67">1-Q30/M30</f>
        <v>0.19063762162162168</v>
      </c>
      <c r="U30" s="101">
        <v>43248</v>
      </c>
      <c r="V30" s="101">
        <v>43283</v>
      </c>
      <c r="W30" s="101">
        <v>43514</v>
      </c>
      <c r="X30" s="101">
        <v>43559</v>
      </c>
      <c r="Y30" s="91" t="s">
        <v>1156</v>
      </c>
      <c r="Z30" s="91" t="s">
        <v>1160</v>
      </c>
      <c r="AA30" s="91" t="s">
        <v>1186</v>
      </c>
      <c r="AB30" s="91" t="s">
        <v>1001</v>
      </c>
      <c r="AC30" s="101">
        <v>43788</v>
      </c>
      <c r="AD30" s="101">
        <v>43791</v>
      </c>
      <c r="AE30" s="91" t="s">
        <v>1195</v>
      </c>
      <c r="AF30" s="91" t="s">
        <v>1468</v>
      </c>
      <c r="AG30" s="91" t="s">
        <v>1419</v>
      </c>
      <c r="AH30" s="91" t="s">
        <v>1560</v>
      </c>
      <c r="AI30" s="91" t="s">
        <v>1541</v>
      </c>
    </row>
    <row r="31" spans="1:35" ht="36" x14ac:dyDescent="0.25">
      <c r="A31" s="91">
        <v>29</v>
      </c>
      <c r="B31" s="91" t="s">
        <v>8</v>
      </c>
      <c r="C31" s="95" t="s">
        <v>53</v>
      </c>
      <c r="D31" s="92" t="s">
        <v>517</v>
      </c>
      <c r="E31" s="92" t="s">
        <v>216</v>
      </c>
      <c r="F31" s="91">
        <v>1</v>
      </c>
      <c r="G31" s="93">
        <v>50000</v>
      </c>
      <c r="H31" s="93">
        <f t="shared" si="23"/>
        <v>50000</v>
      </c>
      <c r="I31" s="93">
        <f t="shared" si="24"/>
        <v>61000</v>
      </c>
      <c r="J31" s="91">
        <v>1</v>
      </c>
      <c r="K31" s="93">
        <v>55000</v>
      </c>
      <c r="L31" s="93">
        <f t="shared" ref="L31:L34" si="68">J31*K31</f>
        <v>55000</v>
      </c>
      <c r="M31" s="93">
        <f t="shared" ref="M31:M34" si="69">L31*1.22</f>
        <v>67100</v>
      </c>
      <c r="N31" s="91">
        <v>1</v>
      </c>
      <c r="O31" s="93">
        <v>53406.400000000001</v>
      </c>
      <c r="P31" s="93">
        <f t="shared" si="61"/>
        <v>53406.400000000001</v>
      </c>
      <c r="Q31" s="93">
        <f t="shared" si="62"/>
        <v>65155.807999999997</v>
      </c>
      <c r="R31" s="91">
        <v>2019</v>
      </c>
      <c r="S31" s="93">
        <f t="shared" ref="S31" si="70">I31-Q31</f>
        <v>-4155.8079999999973</v>
      </c>
      <c r="T31" s="213">
        <f t="shared" ref="T31" si="71">1-Q31/M31</f>
        <v>2.8974545454545475E-2</v>
      </c>
      <c r="U31" s="101">
        <v>43248</v>
      </c>
      <c r="V31" s="101">
        <v>43283</v>
      </c>
      <c r="W31" s="101">
        <v>43514</v>
      </c>
      <c r="X31" s="101">
        <v>43559</v>
      </c>
      <c r="Y31" s="91" t="s">
        <v>1156</v>
      </c>
      <c r="Z31" s="91" t="s">
        <v>1177</v>
      </c>
      <c r="AA31" s="91" t="s">
        <v>1175</v>
      </c>
      <c r="AB31" s="91" t="s">
        <v>1001</v>
      </c>
      <c r="AC31" s="101">
        <v>43749</v>
      </c>
      <c r="AD31" s="101">
        <v>43818</v>
      </c>
      <c r="AE31" s="91" t="s">
        <v>1176</v>
      </c>
      <c r="AF31" s="91" t="s">
        <v>1468</v>
      </c>
      <c r="AG31" s="91" t="s">
        <v>1434</v>
      </c>
      <c r="AH31" s="91" t="s">
        <v>1560</v>
      </c>
      <c r="AI31" s="91" t="s">
        <v>1541</v>
      </c>
    </row>
    <row r="32" spans="1:35" ht="24" x14ac:dyDescent="0.25">
      <c r="A32" s="91">
        <v>30</v>
      </c>
      <c r="B32" s="91" t="s">
        <v>8</v>
      </c>
      <c r="C32" s="95" t="s">
        <v>234</v>
      </c>
      <c r="D32" s="92" t="s">
        <v>645</v>
      </c>
      <c r="E32" s="92" t="s">
        <v>646</v>
      </c>
      <c r="F32" s="91">
        <v>1</v>
      </c>
      <c r="G32" s="93">
        <v>10000</v>
      </c>
      <c r="H32" s="93">
        <f t="shared" si="23"/>
        <v>10000</v>
      </c>
      <c r="I32" s="93">
        <f t="shared" si="24"/>
        <v>12200</v>
      </c>
      <c r="J32" s="91">
        <v>1</v>
      </c>
      <c r="K32" s="93">
        <v>10000</v>
      </c>
      <c r="L32" s="93">
        <f t="shared" si="68"/>
        <v>10000</v>
      </c>
      <c r="M32" s="93">
        <f t="shared" si="69"/>
        <v>12200</v>
      </c>
      <c r="N32" s="91">
        <v>1</v>
      </c>
      <c r="O32" s="93">
        <v>9800</v>
      </c>
      <c r="P32" s="93">
        <f t="shared" ref="P32:P34" si="72">N32*O32</f>
        <v>9800</v>
      </c>
      <c r="Q32" s="93">
        <f t="shared" ref="Q32:Q34" si="73">P32*1.22</f>
        <v>11956</v>
      </c>
      <c r="R32" s="91">
        <v>2018</v>
      </c>
      <c r="S32" s="93">
        <f t="shared" ref="S32:S34" si="74">I32-Q32</f>
        <v>244</v>
      </c>
      <c r="T32" s="213">
        <f t="shared" ref="T32:T34" si="75">1-Q32/M32</f>
        <v>2.0000000000000018E-2</v>
      </c>
      <c r="U32" s="101">
        <v>43244</v>
      </c>
      <c r="V32" s="101">
        <v>43264</v>
      </c>
      <c r="W32" s="101">
        <v>43354</v>
      </c>
      <c r="X32" s="101">
        <v>43367</v>
      </c>
      <c r="Y32" s="91" t="s">
        <v>1043</v>
      </c>
      <c r="Z32" s="91" t="s">
        <v>1073</v>
      </c>
      <c r="AA32" s="91" t="s">
        <v>1035</v>
      </c>
      <c r="AB32" s="91" t="s">
        <v>1040</v>
      </c>
      <c r="AC32" s="101">
        <v>43433</v>
      </c>
      <c r="AD32" s="101" t="s">
        <v>1044</v>
      </c>
      <c r="AE32" s="91" t="s">
        <v>1471</v>
      </c>
      <c r="AF32" s="91" t="s">
        <v>1468</v>
      </c>
      <c r="AG32" s="91" t="s">
        <v>1435</v>
      </c>
      <c r="AH32" s="91" t="s">
        <v>8</v>
      </c>
      <c r="AI32" s="91" t="s">
        <v>1541</v>
      </c>
    </row>
    <row r="33" spans="1:35" ht="24" x14ac:dyDescent="0.25">
      <c r="A33" s="91">
        <v>31</v>
      </c>
      <c r="B33" s="91" t="s">
        <v>8</v>
      </c>
      <c r="C33" s="95" t="s">
        <v>234</v>
      </c>
      <c r="D33" s="92" t="s">
        <v>645</v>
      </c>
      <c r="E33" s="92" t="s">
        <v>1447</v>
      </c>
      <c r="F33" s="91">
        <v>1</v>
      </c>
      <c r="G33" s="93">
        <v>7000</v>
      </c>
      <c r="H33" s="93">
        <f t="shared" si="23"/>
        <v>7000</v>
      </c>
      <c r="I33" s="93">
        <f t="shared" si="24"/>
        <v>8540</v>
      </c>
      <c r="J33" s="91">
        <v>1</v>
      </c>
      <c r="K33" s="93">
        <v>5000</v>
      </c>
      <c r="L33" s="93">
        <f t="shared" si="68"/>
        <v>5000</v>
      </c>
      <c r="M33" s="93">
        <f t="shared" si="69"/>
        <v>6100</v>
      </c>
      <c r="N33" s="91">
        <v>1</v>
      </c>
      <c r="O33" s="93">
        <v>4800</v>
      </c>
      <c r="P33" s="93">
        <f t="shared" si="72"/>
        <v>4800</v>
      </c>
      <c r="Q33" s="93">
        <f t="shared" si="73"/>
        <v>5856</v>
      </c>
      <c r="R33" s="91">
        <v>2018</v>
      </c>
      <c r="S33" s="93">
        <f t="shared" si="74"/>
        <v>2684</v>
      </c>
      <c r="T33" s="213">
        <f t="shared" si="75"/>
        <v>4.0000000000000036E-2</v>
      </c>
      <c r="U33" s="101">
        <v>43251</v>
      </c>
      <c r="V33" s="101">
        <v>43269</v>
      </c>
      <c r="W33" s="101">
        <v>43307</v>
      </c>
      <c r="X33" s="101">
        <v>43312</v>
      </c>
      <c r="Y33" s="91" t="s">
        <v>1045</v>
      </c>
      <c r="Z33" s="91" t="s">
        <v>1384</v>
      </c>
      <c r="AA33" s="91" t="s">
        <v>1036</v>
      </c>
      <c r="AB33" s="91" t="s">
        <v>1041</v>
      </c>
      <c r="AC33" s="101">
        <v>43433</v>
      </c>
      <c r="AD33" s="101" t="s">
        <v>1044</v>
      </c>
      <c r="AE33" s="91" t="s">
        <v>1042</v>
      </c>
      <c r="AF33" s="91" t="s">
        <v>1468</v>
      </c>
      <c r="AG33" s="91" t="s">
        <v>1441</v>
      </c>
      <c r="AH33" s="91" t="s">
        <v>8</v>
      </c>
      <c r="AI33" s="91" t="s">
        <v>1541</v>
      </c>
    </row>
    <row r="34" spans="1:35" ht="48" x14ac:dyDescent="0.25">
      <c r="A34" s="91">
        <v>32</v>
      </c>
      <c r="B34" s="91" t="s">
        <v>8</v>
      </c>
      <c r="C34" s="95" t="s">
        <v>47</v>
      </c>
      <c r="D34" s="92" t="s">
        <v>236</v>
      </c>
      <c r="E34" s="92" t="s">
        <v>237</v>
      </c>
      <c r="F34" s="91">
        <v>8</v>
      </c>
      <c r="G34" s="93">
        <v>23500</v>
      </c>
      <c r="H34" s="93">
        <f t="shared" si="23"/>
        <v>188000</v>
      </c>
      <c r="I34" s="93">
        <f t="shared" si="24"/>
        <v>229360</v>
      </c>
      <c r="J34" s="91">
        <v>8</v>
      </c>
      <c r="K34" s="93">
        <v>23500</v>
      </c>
      <c r="L34" s="93">
        <f t="shared" si="68"/>
        <v>188000</v>
      </c>
      <c r="M34" s="93">
        <f t="shared" si="69"/>
        <v>229360</v>
      </c>
      <c r="N34" s="91">
        <v>8</v>
      </c>
      <c r="O34" s="93">
        <v>23262.75</v>
      </c>
      <c r="P34" s="93">
        <f t="shared" si="72"/>
        <v>186102</v>
      </c>
      <c r="Q34" s="93">
        <f t="shared" si="73"/>
        <v>227044.44</v>
      </c>
      <c r="R34" s="91">
        <v>2019</v>
      </c>
      <c r="S34" s="93">
        <f t="shared" si="74"/>
        <v>2315.5599999999977</v>
      </c>
      <c r="T34" s="213">
        <f t="shared" si="75"/>
        <v>1.009574468085106E-2</v>
      </c>
      <c r="U34" s="101" t="s">
        <v>1038</v>
      </c>
      <c r="V34" s="101" t="s">
        <v>1039</v>
      </c>
      <c r="W34" s="101">
        <v>43620</v>
      </c>
      <c r="X34" s="101">
        <v>43647</v>
      </c>
      <c r="Y34" s="91" t="s">
        <v>1075</v>
      </c>
      <c r="Z34" s="91" t="s">
        <v>1226</v>
      </c>
      <c r="AA34" s="91" t="s">
        <v>1037</v>
      </c>
      <c r="AB34" s="91" t="s">
        <v>1100</v>
      </c>
      <c r="AC34" s="101" t="s">
        <v>1225</v>
      </c>
      <c r="AD34" s="101" t="s">
        <v>1382</v>
      </c>
      <c r="AE34" s="91" t="s">
        <v>1383</v>
      </c>
      <c r="AF34" s="91" t="s">
        <v>1468</v>
      </c>
      <c r="AG34" s="91" t="s">
        <v>1436</v>
      </c>
      <c r="AH34" s="91" t="s">
        <v>8</v>
      </c>
      <c r="AI34" s="91" t="s">
        <v>1541</v>
      </c>
    </row>
    <row r="35" spans="1:35" x14ac:dyDescent="0.25">
      <c r="A35" s="454" t="s">
        <v>59</v>
      </c>
      <c r="B35" s="455"/>
      <c r="C35" s="454"/>
      <c r="D35" s="454"/>
      <c r="E35" s="454"/>
      <c r="F35" s="454"/>
      <c r="G35" s="454"/>
      <c r="H35" s="454"/>
      <c r="I35" s="2">
        <f>SUM(I2:I34)</f>
        <v>1949926</v>
      </c>
      <c r="J35" s="181"/>
      <c r="K35" s="190"/>
      <c r="L35" s="115"/>
      <c r="M35" s="181"/>
      <c r="N35" s="181"/>
      <c r="O35" s="181"/>
      <c r="P35" s="181"/>
      <c r="Q35" s="2">
        <f>SUM(Q2:Q34)</f>
        <v>1581135.340311111</v>
      </c>
      <c r="R35" s="181"/>
      <c r="S35" s="2">
        <f>SUM(S1:S34)</f>
        <v>368790.65968888882</v>
      </c>
      <c r="T35" s="180"/>
      <c r="U35" s="181"/>
      <c r="V35" s="181"/>
      <c r="W35" s="181"/>
      <c r="X35" s="181"/>
      <c r="Y35" s="181"/>
      <c r="Z35" s="181"/>
      <c r="AA35" s="181"/>
      <c r="AB35" s="181"/>
      <c r="AC35" s="181"/>
      <c r="AD35" s="181"/>
      <c r="AE35" s="182"/>
      <c r="AF35" s="181"/>
      <c r="AG35" s="181"/>
      <c r="AH35" s="181"/>
      <c r="AI35" s="181"/>
    </row>
    <row r="38" spans="1:35" x14ac:dyDescent="0.25">
      <c r="Q38" s="14"/>
      <c r="S38" s="14"/>
    </row>
    <row r="39" spans="1:35" x14ac:dyDescent="0.25">
      <c r="Q39" s="14"/>
      <c r="S39" s="14"/>
    </row>
    <row r="43" spans="1:35" x14ac:dyDescent="0.25">
      <c r="Q43" s="14"/>
    </row>
    <row r="53" spans="13:13" x14ac:dyDescent="0.25">
      <c r="M53" s="13">
        <f>SUBTOTAL(9,M1:M31)</f>
        <v>1568037.5252</v>
      </c>
    </row>
  </sheetData>
  <autoFilter ref="A1:AI35"/>
  <mergeCells count="1">
    <mergeCell ref="A35:H35"/>
  </mergeCells>
  <phoneticPr fontId="0" type="noConversion"/>
  <printOptions horizontalCentered="1"/>
  <pageMargins left="0" right="0" top="0.39370078740157483" bottom="0.39370078740157483" header="0.23622047244094491" footer="0.23622047244094491"/>
  <pageSetup paperSize="9" scale="56" orientation="landscape" horizontalDpi="4294967294" verticalDpi="4294967294" r:id="rId1"/>
  <headerFooter alignWithMargins="0">
    <oddHeader>&amp;C&amp;"Garamond,Normale"AdPQ Policoro - D.G.R. 1670/2015; 472 e 1180/2017</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5"/>
  <sheetViews>
    <sheetView zoomScale="80" zoomScaleNormal="80" workbookViewId="0">
      <pane xSplit="1" topLeftCell="B1" activePane="topRight" state="frozen"/>
      <selection pane="topRight" activeCell="Q37" sqref="Q37"/>
    </sheetView>
  </sheetViews>
  <sheetFormatPr defaultColWidth="9.140625" defaultRowHeight="12" x14ac:dyDescent="0.25"/>
  <cols>
    <col min="1" max="1" width="4" style="13" customWidth="1"/>
    <col min="2" max="2" width="6.28515625" style="13" customWidth="1"/>
    <col min="3" max="3" width="11.140625" style="12" customWidth="1"/>
    <col min="4" max="4" width="18.28515625" style="12" customWidth="1"/>
    <col min="5" max="5" width="39.85546875" style="12" customWidth="1"/>
    <col min="6" max="6" width="4.140625" style="13" customWidth="1"/>
    <col min="7" max="7" width="12.140625" style="14" customWidth="1"/>
    <col min="8" max="8" width="17.5703125" style="14" customWidth="1"/>
    <col min="9" max="9" width="21" style="14" bestFit="1" customWidth="1"/>
    <col min="10" max="10" width="4" style="13" customWidth="1"/>
    <col min="11" max="11" width="14.42578125" style="13" customWidth="1"/>
    <col min="12" max="12" width="13.7109375" style="13" customWidth="1"/>
    <col min="13" max="13" width="13.42578125" style="13" customWidth="1"/>
    <col min="14" max="14" width="4" style="13" customWidth="1"/>
    <col min="15" max="15" width="17.7109375" style="13" customWidth="1"/>
    <col min="16" max="16" width="14.140625" style="13" customWidth="1"/>
    <col min="17" max="17" width="15.140625" style="13" customWidth="1"/>
    <col min="18" max="18" width="9.140625" style="13" customWidth="1"/>
    <col min="19" max="19" width="13.42578125" style="13" customWidth="1"/>
    <col min="20" max="20" width="13.42578125" style="55" customWidth="1"/>
    <col min="21" max="21" width="13.85546875" style="13" customWidth="1"/>
    <col min="22" max="22" width="12.5703125" style="13" customWidth="1"/>
    <col min="23" max="23" width="11.5703125" style="13" customWidth="1"/>
    <col min="24" max="24" width="12" style="13" customWidth="1"/>
    <col min="25" max="25" width="20.42578125" style="13" customWidth="1"/>
    <col min="26" max="26" width="13.140625" style="13" customWidth="1"/>
    <col min="27" max="27" width="11.7109375" style="13" customWidth="1"/>
    <col min="28" max="28" width="19.7109375" style="13" customWidth="1"/>
    <col min="29" max="29" width="11.85546875" style="13" customWidth="1"/>
    <col min="30" max="30" width="11.5703125" style="13" customWidth="1"/>
    <col min="31" max="31" width="21.7109375" style="12" customWidth="1"/>
    <col min="32" max="32" width="17.140625" style="13" customWidth="1"/>
    <col min="33" max="33" width="19.28515625" style="12" customWidth="1"/>
    <col min="34" max="34" width="24.7109375" style="13" customWidth="1"/>
    <col min="35" max="35" width="9.140625" style="13" customWidth="1"/>
    <col min="36" max="36" width="9.140625" style="12" customWidth="1"/>
    <col min="37" max="16384" width="9.140625" style="12"/>
  </cols>
  <sheetData>
    <row r="1" spans="1:35" s="3" customFormat="1" ht="42.6" customHeight="1" x14ac:dyDescent="0.25">
      <c r="A1" s="66" t="s">
        <v>0</v>
      </c>
      <c r="B1" s="64" t="s">
        <v>1</v>
      </c>
      <c r="C1" s="64" t="s">
        <v>2</v>
      </c>
      <c r="D1" s="64" t="s">
        <v>3</v>
      </c>
      <c r="E1" s="64" t="s">
        <v>4</v>
      </c>
      <c r="F1" s="64" t="s">
        <v>5</v>
      </c>
      <c r="G1" s="18" t="s">
        <v>186</v>
      </c>
      <c r="H1" s="18" t="s">
        <v>92</v>
      </c>
      <c r="I1" s="18" t="s">
        <v>61</v>
      </c>
      <c r="J1" s="64" t="s">
        <v>5</v>
      </c>
      <c r="K1" s="18" t="s">
        <v>105</v>
      </c>
      <c r="L1" s="18" t="s">
        <v>92</v>
      </c>
      <c r="M1" s="18" t="s">
        <v>61</v>
      </c>
      <c r="N1" s="64" t="s">
        <v>5</v>
      </c>
      <c r="O1" s="18" t="s">
        <v>67</v>
      </c>
      <c r="P1" s="18" t="s">
        <v>6</v>
      </c>
      <c r="Q1" s="18" t="s">
        <v>7</v>
      </c>
      <c r="R1" s="18" t="s">
        <v>313</v>
      </c>
      <c r="S1" s="18" t="s">
        <v>93</v>
      </c>
      <c r="T1" s="47" t="s">
        <v>267</v>
      </c>
      <c r="U1" s="65" t="s">
        <v>106</v>
      </c>
      <c r="V1" s="65" t="s">
        <v>107</v>
      </c>
      <c r="W1" s="65" t="s">
        <v>108</v>
      </c>
      <c r="X1" s="65" t="s">
        <v>109</v>
      </c>
      <c r="Y1" s="63" t="s">
        <v>110</v>
      </c>
      <c r="Z1" s="63" t="s">
        <v>111</v>
      </c>
      <c r="AA1" s="63" t="s">
        <v>112</v>
      </c>
      <c r="AB1" s="63" t="s">
        <v>113</v>
      </c>
      <c r="AC1" s="64" t="s">
        <v>114</v>
      </c>
      <c r="AD1" s="63" t="s">
        <v>115</v>
      </c>
      <c r="AE1" s="64" t="s">
        <v>116</v>
      </c>
      <c r="AF1" s="64" t="s">
        <v>117</v>
      </c>
      <c r="AG1" s="64" t="s">
        <v>118</v>
      </c>
      <c r="AH1" s="64" t="s">
        <v>1544</v>
      </c>
      <c r="AI1" s="64" t="s">
        <v>1540</v>
      </c>
    </row>
    <row r="2" spans="1:35" x14ac:dyDescent="0.25">
      <c r="A2" s="4">
        <v>1</v>
      </c>
      <c r="B2" s="6" t="s">
        <v>8</v>
      </c>
      <c r="C2" s="9" t="s">
        <v>9</v>
      </c>
      <c r="D2" s="9" t="s">
        <v>68</v>
      </c>
      <c r="E2" s="9" t="s">
        <v>69</v>
      </c>
      <c r="F2" s="6">
        <v>1</v>
      </c>
      <c r="G2" s="7">
        <v>2750000</v>
      </c>
      <c r="H2" s="7">
        <f>F2*G2</f>
        <v>2750000</v>
      </c>
      <c r="I2" s="7">
        <f>H2*1.1</f>
        <v>3025000.0000000005</v>
      </c>
      <c r="J2" s="6"/>
      <c r="K2" s="10"/>
      <c r="L2" s="7"/>
      <c r="M2" s="7"/>
      <c r="N2" s="6">
        <v>1</v>
      </c>
      <c r="O2" s="10">
        <v>2750000</v>
      </c>
      <c r="P2" s="7">
        <f>N2*O2</f>
        <v>2750000</v>
      </c>
      <c r="Q2" s="7">
        <f>P2*1.1</f>
        <v>3025000.0000000005</v>
      </c>
      <c r="R2" s="4">
        <v>2021</v>
      </c>
      <c r="S2" s="19">
        <f>I2-Q2</f>
        <v>0</v>
      </c>
      <c r="T2" s="48" t="e">
        <f t="shared" ref="T2:T11" si="0">1-Q2/M2</f>
        <v>#DIV/0!</v>
      </c>
      <c r="U2" s="20"/>
      <c r="V2" s="20"/>
      <c r="W2" s="20"/>
      <c r="X2" s="20"/>
      <c r="Y2" s="4"/>
      <c r="Z2" s="4"/>
      <c r="AA2" s="4"/>
      <c r="AB2" s="4"/>
      <c r="AC2" s="6"/>
      <c r="AD2" s="4"/>
      <c r="AE2" s="4"/>
      <c r="AF2" s="4"/>
      <c r="AG2" s="6"/>
      <c r="AH2" s="6" t="s">
        <v>1560</v>
      </c>
      <c r="AI2" s="6" t="s">
        <v>1562</v>
      </c>
    </row>
    <row r="3" spans="1:35" ht="46.9" customHeight="1" x14ac:dyDescent="0.25">
      <c r="A3" s="4">
        <v>2</v>
      </c>
      <c r="B3" s="6" t="s">
        <v>8</v>
      </c>
      <c r="C3" s="5" t="s">
        <v>9</v>
      </c>
      <c r="D3" s="5" t="s">
        <v>28</v>
      </c>
      <c r="E3" s="5" t="s">
        <v>506</v>
      </c>
      <c r="F3" s="6">
        <v>1</v>
      </c>
      <c r="G3" s="7">
        <v>280000</v>
      </c>
      <c r="H3" s="7">
        <f>F3*G3</f>
        <v>280000</v>
      </c>
      <c r="I3" s="7">
        <f>H3*1.22</f>
        <v>341600</v>
      </c>
      <c r="J3" s="6"/>
      <c r="K3" s="6"/>
      <c r="L3" s="7">
        <f t="shared" ref="L3:L11" si="1">J3*K3</f>
        <v>0</v>
      </c>
      <c r="M3" s="7">
        <f t="shared" ref="M3:M11" si="2">L3*1.22</f>
        <v>0</v>
      </c>
      <c r="N3" s="6">
        <v>1</v>
      </c>
      <c r="O3" s="7">
        <v>269250</v>
      </c>
      <c r="P3" s="7">
        <f>N3*O3</f>
        <v>269250</v>
      </c>
      <c r="Q3" s="7">
        <f>P3*1.22</f>
        <v>328485</v>
      </c>
      <c r="R3" s="6">
        <v>2020</v>
      </c>
      <c r="S3" s="19">
        <f>I3-Q3</f>
        <v>13115</v>
      </c>
      <c r="T3" s="48" t="e">
        <f t="shared" si="0"/>
        <v>#DIV/0!</v>
      </c>
      <c r="U3" s="20"/>
      <c r="V3" s="20"/>
      <c r="W3" s="20"/>
      <c r="X3" s="20"/>
      <c r="Y3" s="6"/>
      <c r="Z3" s="6" t="s">
        <v>1783</v>
      </c>
      <c r="AA3" s="6" t="s">
        <v>1465</v>
      </c>
      <c r="AB3" s="6" t="s">
        <v>1466</v>
      </c>
      <c r="AC3" s="20">
        <v>44586</v>
      </c>
      <c r="AD3" s="20">
        <v>45048</v>
      </c>
      <c r="AE3" s="5"/>
      <c r="AF3" s="6"/>
      <c r="AG3" s="5"/>
      <c r="AH3" s="6" t="s">
        <v>8</v>
      </c>
      <c r="AI3" s="6" t="s">
        <v>1563</v>
      </c>
    </row>
    <row r="4" spans="1:35" ht="24" x14ac:dyDescent="0.25">
      <c r="A4" s="4">
        <v>3</v>
      </c>
      <c r="B4" s="6" t="s">
        <v>8</v>
      </c>
      <c r="C4" s="5" t="s">
        <v>9</v>
      </c>
      <c r="D4" s="5" t="s">
        <v>550</v>
      </c>
      <c r="E4" s="5" t="s">
        <v>552</v>
      </c>
      <c r="F4" s="6">
        <v>1</v>
      </c>
      <c r="G4" s="7">
        <v>14754.098</v>
      </c>
      <c r="H4" s="41">
        <f t="shared" ref="H4:H10" si="3">F4*G4</f>
        <v>14754.098</v>
      </c>
      <c r="I4" s="41">
        <f t="shared" ref="I4:I11" si="4">H4*1.22</f>
        <v>17999.99956</v>
      </c>
      <c r="J4" s="6"/>
      <c r="K4" s="6"/>
      <c r="L4" s="7">
        <f t="shared" si="1"/>
        <v>0</v>
      </c>
      <c r="M4" s="7">
        <f t="shared" si="2"/>
        <v>0</v>
      </c>
      <c r="N4" s="6"/>
      <c r="O4" s="6"/>
      <c r="P4" s="6"/>
      <c r="Q4" s="6"/>
      <c r="R4" s="6"/>
      <c r="S4" s="19"/>
      <c r="T4" s="48" t="e">
        <f t="shared" si="0"/>
        <v>#DIV/0!</v>
      </c>
      <c r="U4" s="6"/>
      <c r="V4" s="6"/>
      <c r="W4" s="6"/>
      <c r="X4" s="6"/>
      <c r="Y4" s="6"/>
      <c r="Z4" s="6"/>
      <c r="AA4" s="6"/>
      <c r="AB4" s="6"/>
      <c r="AC4" s="6"/>
      <c r="AD4" s="6"/>
      <c r="AE4" s="5"/>
      <c r="AF4" s="6"/>
      <c r="AG4" s="5"/>
      <c r="AH4" s="6" t="s">
        <v>8</v>
      </c>
      <c r="AI4" s="6" t="s">
        <v>1564</v>
      </c>
    </row>
    <row r="5" spans="1:35" ht="24" x14ac:dyDescent="0.25">
      <c r="A5" s="4">
        <v>4</v>
      </c>
      <c r="B5" s="6" t="s">
        <v>8</v>
      </c>
      <c r="C5" s="5" t="s">
        <v>9</v>
      </c>
      <c r="D5" s="5" t="s">
        <v>551</v>
      </c>
      <c r="E5" s="5" t="s">
        <v>552</v>
      </c>
      <c r="F5" s="6">
        <v>2</v>
      </c>
      <c r="G5" s="7">
        <v>14754.098</v>
      </c>
      <c r="H5" s="41">
        <f>F5*G5</f>
        <v>29508.196</v>
      </c>
      <c r="I5" s="41">
        <f>H5*1.22</f>
        <v>35999.99912</v>
      </c>
      <c r="J5" s="6"/>
      <c r="K5" s="6"/>
      <c r="L5" s="7">
        <f t="shared" si="1"/>
        <v>0</v>
      </c>
      <c r="M5" s="7">
        <f t="shared" si="2"/>
        <v>0</v>
      </c>
      <c r="N5" s="6"/>
      <c r="O5" s="6"/>
      <c r="P5" s="6"/>
      <c r="Q5" s="6"/>
      <c r="R5" s="6"/>
      <c r="S5" s="19"/>
      <c r="T5" s="48" t="e">
        <f t="shared" si="0"/>
        <v>#DIV/0!</v>
      </c>
      <c r="U5" s="6"/>
      <c r="V5" s="6"/>
      <c r="W5" s="6"/>
      <c r="X5" s="6"/>
      <c r="Y5" s="6"/>
      <c r="Z5" s="6"/>
      <c r="AA5" s="6"/>
      <c r="AB5" s="6"/>
      <c r="AC5" s="6"/>
      <c r="AD5" s="6"/>
      <c r="AE5" s="5"/>
      <c r="AF5" s="6"/>
      <c r="AG5" s="5"/>
      <c r="AH5" s="6" t="s">
        <v>8</v>
      </c>
      <c r="AI5" s="6" t="s">
        <v>1564</v>
      </c>
    </row>
    <row r="6" spans="1:35" ht="24" x14ac:dyDescent="0.25">
      <c r="A6" s="96">
        <v>5</v>
      </c>
      <c r="B6" s="91" t="s">
        <v>8</v>
      </c>
      <c r="C6" s="92" t="s">
        <v>9</v>
      </c>
      <c r="D6" s="92" t="s">
        <v>551</v>
      </c>
      <c r="E6" s="92" t="s">
        <v>498</v>
      </c>
      <c r="F6" s="91">
        <v>1</v>
      </c>
      <c r="G6" s="93">
        <v>40000</v>
      </c>
      <c r="H6" s="93">
        <f>F6*G6</f>
        <v>40000</v>
      </c>
      <c r="I6" s="93">
        <f>H6*1.22</f>
        <v>48800</v>
      </c>
      <c r="J6" s="91">
        <v>1</v>
      </c>
      <c r="K6" s="91"/>
      <c r="L6" s="93">
        <f t="shared" si="1"/>
        <v>0</v>
      </c>
      <c r="M6" s="93">
        <f t="shared" si="2"/>
        <v>0</v>
      </c>
      <c r="N6" s="91">
        <v>1</v>
      </c>
      <c r="O6" s="93">
        <v>41183.4</v>
      </c>
      <c r="P6" s="93">
        <f t="shared" ref="P6" si="5">N6*O6</f>
        <v>41183.4</v>
      </c>
      <c r="Q6" s="93">
        <f t="shared" ref="Q6" si="6">P6*1.22</f>
        <v>50243.748</v>
      </c>
      <c r="R6" s="91">
        <v>2019</v>
      </c>
      <c r="S6" s="99">
        <f t="shared" ref="S6:S9" si="7">I6-Q6</f>
        <v>-1443.7479999999996</v>
      </c>
      <c r="T6" s="100" t="e">
        <f t="shared" si="0"/>
        <v>#DIV/0!</v>
      </c>
      <c r="U6" s="101">
        <v>43248</v>
      </c>
      <c r="V6" s="101">
        <v>43283</v>
      </c>
      <c r="W6" s="101">
        <v>43514</v>
      </c>
      <c r="X6" s="101">
        <v>43559</v>
      </c>
      <c r="Y6" s="91" t="s">
        <v>1173</v>
      </c>
      <c r="Z6" s="91" t="s">
        <v>1587</v>
      </c>
      <c r="AA6" s="91" t="s">
        <v>1002</v>
      </c>
      <c r="AB6" s="91" t="s">
        <v>1001</v>
      </c>
      <c r="AC6" s="251">
        <v>43780</v>
      </c>
      <c r="AD6" s="101">
        <v>43782</v>
      </c>
      <c r="AE6" s="92" t="s">
        <v>1588</v>
      </c>
      <c r="AF6" s="91" t="s">
        <v>1467</v>
      </c>
      <c r="AG6" s="92" t="s">
        <v>1428</v>
      </c>
      <c r="AH6" s="91" t="s">
        <v>1560</v>
      </c>
      <c r="AI6" s="91" t="s">
        <v>1541</v>
      </c>
    </row>
    <row r="7" spans="1:35" ht="48" x14ac:dyDescent="0.25">
      <c r="A7" s="96">
        <v>6</v>
      </c>
      <c r="B7" s="91" t="s">
        <v>8</v>
      </c>
      <c r="C7" s="92" t="s">
        <v>9</v>
      </c>
      <c r="D7" s="92" t="s">
        <v>551</v>
      </c>
      <c r="E7" s="92" t="s">
        <v>209</v>
      </c>
      <c r="F7" s="91">
        <v>1</v>
      </c>
      <c r="G7" s="93">
        <v>40000</v>
      </c>
      <c r="H7" s="88">
        <f>F7*G7</f>
        <v>40000</v>
      </c>
      <c r="I7" s="88">
        <f t="shared" si="4"/>
        <v>48800</v>
      </c>
      <c r="J7" s="91">
        <v>2</v>
      </c>
      <c r="K7" s="223">
        <v>15000</v>
      </c>
      <c r="L7" s="93">
        <f t="shared" si="1"/>
        <v>30000</v>
      </c>
      <c r="M7" s="93">
        <f t="shared" si="2"/>
        <v>36600</v>
      </c>
      <c r="N7" s="91">
        <v>2</v>
      </c>
      <c r="O7" s="93">
        <f>23989.98/2</f>
        <v>11994.99</v>
      </c>
      <c r="P7" s="93">
        <f>N7*O7</f>
        <v>23989.98</v>
      </c>
      <c r="Q7" s="93">
        <f>P7*1.22</f>
        <v>29267.775599999997</v>
      </c>
      <c r="R7" s="91">
        <v>2018</v>
      </c>
      <c r="S7" s="99">
        <f t="shared" si="7"/>
        <v>19532.224400000003</v>
      </c>
      <c r="T7" s="100">
        <f t="shared" si="0"/>
        <v>0.20033400000000012</v>
      </c>
      <c r="U7" s="101">
        <v>43248</v>
      </c>
      <c r="V7" s="101">
        <v>43271</v>
      </c>
      <c r="W7" s="91"/>
      <c r="X7" s="91" t="s">
        <v>988</v>
      </c>
      <c r="Y7" s="91">
        <v>1963284</v>
      </c>
      <c r="Z7" s="91">
        <v>19011250</v>
      </c>
      <c r="AA7" s="91" t="s">
        <v>987</v>
      </c>
      <c r="AB7" s="91" t="s">
        <v>1076</v>
      </c>
      <c r="AC7" s="101">
        <v>43531</v>
      </c>
      <c r="AD7" s="101">
        <v>43573</v>
      </c>
      <c r="AE7" s="91" t="s">
        <v>1077</v>
      </c>
      <c r="AF7" s="91" t="s">
        <v>1467</v>
      </c>
      <c r="AG7" s="91" t="s">
        <v>1532</v>
      </c>
      <c r="AH7" s="91" t="s">
        <v>1560</v>
      </c>
      <c r="AI7" s="91" t="s">
        <v>1541</v>
      </c>
    </row>
    <row r="8" spans="1:35" ht="24" x14ac:dyDescent="0.25">
      <c r="A8" s="4">
        <v>7</v>
      </c>
      <c r="B8" s="6" t="s">
        <v>8</v>
      </c>
      <c r="C8" s="5" t="s">
        <v>9</v>
      </c>
      <c r="D8" s="5" t="s">
        <v>64</v>
      </c>
      <c r="E8" s="5" t="s">
        <v>515</v>
      </c>
      <c r="F8" s="6">
        <v>1</v>
      </c>
      <c r="G8" s="7">
        <v>14000</v>
      </c>
      <c r="H8" s="41">
        <f>F8*G8</f>
        <v>14000</v>
      </c>
      <c r="I8" s="41">
        <f>H8*1.22</f>
        <v>17080</v>
      </c>
      <c r="J8" s="6"/>
      <c r="K8" s="6"/>
      <c r="L8" s="7">
        <f t="shared" si="1"/>
        <v>0</v>
      </c>
      <c r="M8" s="7">
        <f t="shared" si="2"/>
        <v>0</v>
      </c>
      <c r="N8" s="6"/>
      <c r="O8" s="6"/>
      <c r="P8" s="6"/>
      <c r="Q8" s="6"/>
      <c r="R8" s="6"/>
      <c r="S8" s="19"/>
      <c r="T8" s="48" t="e">
        <f t="shared" si="0"/>
        <v>#DIV/0!</v>
      </c>
      <c r="U8" s="6"/>
      <c r="V8" s="6"/>
      <c r="W8" s="6"/>
      <c r="X8" s="6"/>
      <c r="Y8" s="6"/>
      <c r="Z8" s="6"/>
      <c r="AA8" s="6"/>
      <c r="AB8" s="6"/>
      <c r="AC8" s="6"/>
      <c r="AD8" s="6"/>
      <c r="AE8" s="5"/>
      <c r="AF8" s="6"/>
      <c r="AG8" s="5"/>
      <c r="AH8" s="6" t="s">
        <v>8</v>
      </c>
      <c r="AI8" s="6" t="s">
        <v>1564</v>
      </c>
    </row>
    <row r="9" spans="1:35" ht="48" x14ac:dyDescent="0.25">
      <c r="A9" s="96">
        <v>8</v>
      </c>
      <c r="B9" s="91" t="s">
        <v>8</v>
      </c>
      <c r="C9" s="92" t="s">
        <v>9</v>
      </c>
      <c r="D9" s="92" t="s">
        <v>553</v>
      </c>
      <c r="E9" s="92" t="s">
        <v>208</v>
      </c>
      <c r="F9" s="91">
        <v>1</v>
      </c>
      <c r="G9" s="93">
        <v>30000</v>
      </c>
      <c r="H9" s="88">
        <f>F9*G9</f>
        <v>30000</v>
      </c>
      <c r="I9" s="88">
        <f>H9*1.22</f>
        <v>36600</v>
      </c>
      <c r="J9" s="91">
        <v>1</v>
      </c>
      <c r="K9" s="98">
        <v>20000</v>
      </c>
      <c r="L9" s="93">
        <f t="shared" si="1"/>
        <v>20000</v>
      </c>
      <c r="M9" s="93">
        <f t="shared" si="2"/>
        <v>24400</v>
      </c>
      <c r="N9" s="91">
        <v>1</v>
      </c>
      <c r="O9" s="93">
        <v>19797.7</v>
      </c>
      <c r="P9" s="93">
        <f>N9*O9</f>
        <v>19797.7</v>
      </c>
      <c r="Q9" s="93">
        <f>P9*1.22</f>
        <v>24153.194</v>
      </c>
      <c r="R9" s="91">
        <v>2019</v>
      </c>
      <c r="S9" s="99">
        <f t="shared" si="7"/>
        <v>12446.806</v>
      </c>
      <c r="T9" s="100">
        <f t="shared" si="0"/>
        <v>1.0114999999999985E-2</v>
      </c>
      <c r="U9" s="101">
        <v>43325</v>
      </c>
      <c r="V9" s="101">
        <v>43350</v>
      </c>
      <c r="W9" s="101">
        <v>43529</v>
      </c>
      <c r="X9" s="101">
        <v>43549</v>
      </c>
      <c r="Y9" s="91" t="s">
        <v>1099</v>
      </c>
      <c r="Z9" s="91">
        <v>19017345</v>
      </c>
      <c r="AA9" s="91" t="s">
        <v>1098</v>
      </c>
      <c r="AB9" s="91" t="s">
        <v>1097</v>
      </c>
      <c r="AC9" s="101">
        <v>43656</v>
      </c>
      <c r="AD9" s="101">
        <v>43677</v>
      </c>
      <c r="AE9" s="92" t="s">
        <v>1458</v>
      </c>
      <c r="AF9" s="91" t="s">
        <v>1467</v>
      </c>
      <c r="AG9" s="92" t="s">
        <v>1432</v>
      </c>
      <c r="AH9" s="91" t="s">
        <v>8</v>
      </c>
      <c r="AI9" s="91" t="s">
        <v>1541</v>
      </c>
    </row>
    <row r="10" spans="1:35" ht="24" x14ac:dyDescent="0.25">
      <c r="A10" s="4">
        <v>9</v>
      </c>
      <c r="B10" s="6" t="s">
        <v>8</v>
      </c>
      <c r="C10" s="5" t="s">
        <v>9</v>
      </c>
      <c r="D10" s="5" t="s">
        <v>553</v>
      </c>
      <c r="E10" s="5" t="s">
        <v>554</v>
      </c>
      <c r="F10" s="6">
        <v>1</v>
      </c>
      <c r="G10" s="7">
        <v>70000</v>
      </c>
      <c r="H10" s="41">
        <f t="shared" si="3"/>
        <v>70000</v>
      </c>
      <c r="I10" s="41">
        <f t="shared" si="4"/>
        <v>85400</v>
      </c>
      <c r="J10" s="6"/>
      <c r="K10" s="6"/>
      <c r="L10" s="7">
        <f t="shared" si="1"/>
        <v>0</v>
      </c>
      <c r="M10" s="7">
        <f t="shared" si="2"/>
        <v>0</v>
      </c>
      <c r="N10" s="6"/>
      <c r="O10" s="6"/>
      <c r="P10" s="6"/>
      <c r="Q10" s="6"/>
      <c r="R10" s="6"/>
      <c r="S10" s="19"/>
      <c r="T10" s="48" t="e">
        <f t="shared" si="0"/>
        <v>#DIV/0!</v>
      </c>
      <c r="U10" s="6"/>
      <c r="V10" s="6"/>
      <c r="W10" s="6"/>
      <c r="X10" s="6"/>
      <c r="Y10" s="6"/>
      <c r="Z10" s="6"/>
      <c r="AA10" s="6"/>
      <c r="AB10" s="6"/>
      <c r="AC10" s="6"/>
      <c r="AD10" s="6"/>
      <c r="AE10" s="5"/>
      <c r="AF10" s="6"/>
      <c r="AG10" s="5"/>
      <c r="AH10" s="6" t="s">
        <v>8</v>
      </c>
      <c r="AI10" s="6" t="s">
        <v>1564</v>
      </c>
    </row>
    <row r="11" spans="1:35" ht="24" x14ac:dyDescent="0.25">
      <c r="A11" s="4">
        <v>10</v>
      </c>
      <c r="B11" s="6" t="s">
        <v>8</v>
      </c>
      <c r="C11" s="5" t="s">
        <v>9</v>
      </c>
      <c r="D11" s="5" t="s">
        <v>553</v>
      </c>
      <c r="E11" s="5" t="s">
        <v>555</v>
      </c>
      <c r="F11" s="6">
        <v>1</v>
      </c>
      <c r="G11" s="7">
        <v>76000</v>
      </c>
      <c r="H11" s="41">
        <f>F11*G11</f>
        <v>76000</v>
      </c>
      <c r="I11" s="41">
        <f t="shared" si="4"/>
        <v>92720</v>
      </c>
      <c r="J11" s="6"/>
      <c r="K11" s="6"/>
      <c r="L11" s="7">
        <f t="shared" si="1"/>
        <v>0</v>
      </c>
      <c r="M11" s="7">
        <f t="shared" si="2"/>
        <v>0</v>
      </c>
      <c r="N11" s="6"/>
      <c r="O11" s="6"/>
      <c r="P11" s="183"/>
      <c r="Q11" s="6"/>
      <c r="R11" s="6"/>
      <c r="S11" s="19"/>
      <c r="T11" s="48" t="e">
        <f t="shared" si="0"/>
        <v>#DIV/0!</v>
      </c>
      <c r="U11" s="6"/>
      <c r="V11" s="6"/>
      <c r="W11" s="6"/>
      <c r="X11" s="6"/>
      <c r="Y11" s="6"/>
      <c r="Z11" s="6"/>
      <c r="AA11" s="6"/>
      <c r="AB11" s="6"/>
      <c r="AC11" s="6"/>
      <c r="AD11" s="6"/>
      <c r="AE11" s="5"/>
      <c r="AF11" s="6"/>
      <c r="AG11" s="5"/>
      <c r="AH11" s="6" t="s">
        <v>8</v>
      </c>
      <c r="AI11" s="6" t="s">
        <v>1564</v>
      </c>
    </row>
    <row r="12" spans="1:35" x14ac:dyDescent="0.25">
      <c r="A12" s="454" t="s">
        <v>59</v>
      </c>
      <c r="B12" s="455"/>
      <c r="C12" s="454"/>
      <c r="D12" s="454"/>
      <c r="E12" s="454"/>
      <c r="F12" s="454"/>
      <c r="G12" s="454"/>
      <c r="H12" s="454"/>
      <c r="I12" s="37">
        <f>SUM(I2:I11)</f>
        <v>3749999.9986800002</v>
      </c>
      <c r="J12" s="181"/>
      <c r="K12" s="181"/>
      <c r="L12" s="181"/>
      <c r="M12" s="181"/>
      <c r="N12" s="181"/>
      <c r="O12" s="181"/>
      <c r="P12" s="181"/>
      <c r="Q12" s="37">
        <f>SUM(Q2:Q11)</f>
        <v>3457149.7176000006</v>
      </c>
      <c r="R12" s="181"/>
      <c r="S12" s="2">
        <f>SUM(S2:S11)</f>
        <v>43650.282400000004</v>
      </c>
      <c r="T12" s="180"/>
      <c r="U12" s="181"/>
      <c r="V12" s="181"/>
      <c r="W12" s="181"/>
      <c r="X12" s="181"/>
      <c r="Y12" s="181"/>
      <c r="Z12" s="181"/>
      <c r="AA12" s="181"/>
      <c r="AB12" s="181"/>
      <c r="AC12" s="181"/>
      <c r="AD12" s="181"/>
      <c r="AE12" s="182"/>
      <c r="AF12" s="181"/>
      <c r="AG12" s="182"/>
      <c r="AH12" s="181"/>
      <c r="AI12" s="181"/>
    </row>
    <row r="13" spans="1:35" ht="11.65" x14ac:dyDescent="0.25">
      <c r="S13" s="14"/>
    </row>
    <row r="14" spans="1:35" ht="11.65" x14ac:dyDescent="0.25">
      <c r="Q14" s="14"/>
      <c r="S14" s="14"/>
    </row>
    <row r="15" spans="1:35" ht="11.65" x14ac:dyDescent="0.25">
      <c r="Q15" s="14"/>
      <c r="S15" s="14"/>
    </row>
    <row r="25" spans="26:30" ht="11.65" x14ac:dyDescent="0.25">
      <c r="Z25" s="181"/>
      <c r="AA25" s="181"/>
      <c r="AB25" s="252"/>
      <c r="AC25" s="252"/>
      <c r="AD25" s="181"/>
    </row>
  </sheetData>
  <autoFilter ref="A1:AI12"/>
  <mergeCells count="1">
    <mergeCell ref="A12:H12"/>
  </mergeCells>
  <phoneticPr fontId="0" type="noConversion"/>
  <printOptions horizontalCentered="1"/>
  <pageMargins left="0" right="0" top="0.39370078740157483" bottom="0.39370078740157483" header="0.23622047244094491" footer="0.23622047244094491"/>
  <pageSetup paperSize="9" scale="56" orientation="landscape" horizontalDpi="4294967294" verticalDpi="4294967294" r:id="rId1"/>
  <headerFooter alignWithMargins="0">
    <oddHeader>&amp;C&amp;"Garamond,Normale"Adeguamento tecnologico Matera - D.G.R. 473/2017</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
  <sheetViews>
    <sheetView zoomScale="80" zoomScaleNormal="80" workbookViewId="0">
      <pane xSplit="1" topLeftCell="B1" activePane="topRight" state="frozen"/>
      <selection activeCell="P2" sqref="P2"/>
      <selection pane="topRight" activeCell="S44" sqref="S44"/>
    </sheetView>
  </sheetViews>
  <sheetFormatPr defaultColWidth="9.140625" defaultRowHeight="12" x14ac:dyDescent="0.25"/>
  <cols>
    <col min="1" max="1" width="4" style="13" bestFit="1" customWidth="1"/>
    <col min="2" max="2" width="6.28515625" style="13" customWidth="1"/>
    <col min="3" max="3" width="11.140625" style="12" bestFit="1" customWidth="1"/>
    <col min="4" max="4" width="18.28515625" style="12" bestFit="1" customWidth="1"/>
    <col min="5" max="5" width="29.28515625" style="12" customWidth="1"/>
    <col min="6" max="6" width="4.140625" style="13" bestFit="1" customWidth="1"/>
    <col min="7" max="7" width="12.140625" style="14" customWidth="1"/>
    <col min="8" max="9" width="14.7109375" style="14" bestFit="1" customWidth="1"/>
    <col min="10" max="10" width="11.5703125" style="14" bestFit="1" customWidth="1"/>
    <col min="11" max="13" width="14.7109375" style="14" customWidth="1"/>
    <col min="14" max="14" width="4" style="13" customWidth="1"/>
    <col min="15" max="15" width="12" style="13" customWidth="1"/>
    <col min="16" max="16" width="11.85546875" style="13" bestFit="1" customWidth="1"/>
    <col min="17" max="17" width="11.5703125" style="13" bestFit="1" customWidth="1"/>
    <col min="18" max="18" width="13.140625" style="13" bestFit="1" customWidth="1"/>
    <col min="19" max="19" width="11.28515625" style="13" bestFit="1" customWidth="1"/>
    <col min="20" max="20" width="16.85546875" style="13" customWidth="1"/>
    <col min="21" max="21" width="13.85546875" style="12" customWidth="1"/>
    <col min="22" max="22" width="12.5703125" style="12" customWidth="1"/>
    <col min="23" max="23" width="11.5703125" style="12" customWidth="1"/>
    <col min="24" max="24" width="12" style="12" customWidth="1"/>
    <col min="25" max="25" width="20.42578125" style="12" customWidth="1"/>
    <col min="26" max="26" width="9.140625" style="12" customWidth="1"/>
    <col min="27" max="27" width="11.7109375" style="12" customWidth="1"/>
    <col min="28" max="28" width="19.7109375" style="12" customWidth="1"/>
    <col min="29" max="29" width="11.85546875" style="12" customWidth="1"/>
    <col min="30" max="30" width="11.5703125" style="12" customWidth="1"/>
    <col min="31" max="31" width="12.85546875" style="12" customWidth="1"/>
    <col min="32" max="32" width="20.28515625" style="12" bestFit="1" customWidth="1"/>
    <col min="33" max="33" width="16" style="12" bestFit="1" customWidth="1"/>
    <col min="34" max="34" width="24.7109375" style="12" bestFit="1" customWidth="1"/>
    <col min="35" max="16384" width="9.140625" style="12"/>
  </cols>
  <sheetData>
    <row r="1" spans="1:35" s="170" customFormat="1" ht="42.6" customHeight="1" x14ac:dyDescent="0.25">
      <c r="A1" s="169" t="s">
        <v>0</v>
      </c>
      <c r="B1" s="64" t="s">
        <v>1</v>
      </c>
      <c r="C1" s="64" t="s">
        <v>2</v>
      </c>
      <c r="D1" s="64" t="s">
        <v>3</v>
      </c>
      <c r="E1" s="64" t="s">
        <v>4</v>
      </c>
      <c r="F1" s="64" t="s">
        <v>5</v>
      </c>
      <c r="G1" s="18" t="s">
        <v>186</v>
      </c>
      <c r="H1" s="18" t="s">
        <v>92</v>
      </c>
      <c r="I1" s="18" t="s">
        <v>61</v>
      </c>
      <c r="J1" s="64" t="s">
        <v>5</v>
      </c>
      <c r="K1" s="18" t="s">
        <v>105</v>
      </c>
      <c r="L1" s="18" t="s">
        <v>92</v>
      </c>
      <c r="M1" s="18" t="s">
        <v>61</v>
      </c>
      <c r="N1" s="64" t="s">
        <v>5</v>
      </c>
      <c r="O1" s="18" t="s">
        <v>902</v>
      </c>
      <c r="P1" s="18" t="s">
        <v>92</v>
      </c>
      <c r="Q1" s="18" t="s">
        <v>61</v>
      </c>
      <c r="R1" s="18" t="s">
        <v>313</v>
      </c>
      <c r="S1" s="18" t="s">
        <v>93</v>
      </c>
      <c r="T1" s="47" t="s">
        <v>267</v>
      </c>
      <c r="U1" s="65" t="s">
        <v>106</v>
      </c>
      <c r="V1" s="65" t="s">
        <v>107</v>
      </c>
      <c r="W1" s="65" t="s">
        <v>108</v>
      </c>
      <c r="X1" s="65" t="s">
        <v>109</v>
      </c>
      <c r="Y1" s="63" t="s">
        <v>110</v>
      </c>
      <c r="Z1" s="63" t="s">
        <v>111</v>
      </c>
      <c r="AA1" s="63" t="s">
        <v>112</v>
      </c>
      <c r="AB1" s="63" t="s">
        <v>113</v>
      </c>
      <c r="AC1" s="64" t="s">
        <v>114</v>
      </c>
      <c r="AD1" s="63" t="s">
        <v>115</v>
      </c>
      <c r="AE1" s="63" t="s">
        <v>116</v>
      </c>
      <c r="AF1" s="63" t="s">
        <v>117</v>
      </c>
      <c r="AG1" s="64" t="s">
        <v>118</v>
      </c>
      <c r="AH1" s="64" t="s">
        <v>1544</v>
      </c>
      <c r="AI1" s="64" t="s">
        <v>1540</v>
      </c>
    </row>
    <row r="2" spans="1:35" ht="48" x14ac:dyDescent="0.25">
      <c r="A2" s="91">
        <v>1</v>
      </c>
      <c r="B2" s="91" t="s">
        <v>8</v>
      </c>
      <c r="C2" s="97" t="s">
        <v>903</v>
      </c>
      <c r="D2" s="97" t="s">
        <v>904</v>
      </c>
      <c r="E2" s="97" t="s">
        <v>905</v>
      </c>
      <c r="F2" s="91">
        <v>1</v>
      </c>
      <c r="G2" s="93">
        <v>18000</v>
      </c>
      <c r="H2" s="93">
        <f>F2*G2</f>
        <v>18000</v>
      </c>
      <c r="I2" s="93">
        <f>H2*1.22</f>
        <v>21960</v>
      </c>
      <c r="J2" s="132">
        <v>1</v>
      </c>
      <c r="K2" s="93">
        <f>5338750/225</f>
        <v>23727.777777777777</v>
      </c>
      <c r="L2" s="93">
        <f t="shared" ref="L2" si="0">J2*K2</f>
        <v>23727.777777777777</v>
      </c>
      <c r="M2" s="93">
        <f t="shared" ref="M2" si="1">L2*1.22</f>
        <v>28947.888888888887</v>
      </c>
      <c r="N2" s="132">
        <v>1</v>
      </c>
      <c r="O2" s="93">
        <f>12520*0.99</f>
        <v>12394.8</v>
      </c>
      <c r="P2" s="93">
        <f t="shared" ref="P2" si="2">N2*O2</f>
        <v>12394.8</v>
      </c>
      <c r="Q2" s="93">
        <f t="shared" ref="Q2" si="3">P2*1.22</f>
        <v>15121.655999999999</v>
      </c>
      <c r="R2" s="85">
        <v>2020</v>
      </c>
      <c r="S2" s="220">
        <f t="shared" ref="S2" si="4">I2-Q2</f>
        <v>6838.344000000001</v>
      </c>
      <c r="T2" s="106">
        <f t="shared" ref="T2" si="5">1-Q2/M2</f>
        <v>0.4776249121985483</v>
      </c>
      <c r="U2" s="108">
        <v>43446</v>
      </c>
      <c r="V2" s="108" t="s">
        <v>1233</v>
      </c>
      <c r="W2" s="108">
        <v>43900</v>
      </c>
      <c r="X2" s="108">
        <v>43959</v>
      </c>
      <c r="Y2" s="86" t="s">
        <v>1234</v>
      </c>
      <c r="Z2" s="91" t="s">
        <v>1252</v>
      </c>
      <c r="AA2" s="86" t="s">
        <v>1236</v>
      </c>
      <c r="AB2" s="86" t="s">
        <v>1237</v>
      </c>
      <c r="AC2" s="101">
        <v>44081</v>
      </c>
      <c r="AD2" s="101">
        <v>44084</v>
      </c>
      <c r="AE2" s="91" t="s">
        <v>1277</v>
      </c>
      <c r="AF2" s="85" t="s">
        <v>1378</v>
      </c>
      <c r="AG2" s="109" t="s">
        <v>1287</v>
      </c>
      <c r="AH2" s="219" t="s">
        <v>8</v>
      </c>
      <c r="AI2" s="224" t="s">
        <v>1541</v>
      </c>
    </row>
    <row r="3" spans="1:35" ht="39.6" customHeight="1" x14ac:dyDescent="0.25">
      <c r="A3" s="6">
        <v>2</v>
      </c>
      <c r="B3" s="69" t="s">
        <v>8</v>
      </c>
      <c r="C3" s="9" t="s">
        <v>903</v>
      </c>
      <c r="D3" s="9" t="s">
        <v>904</v>
      </c>
      <c r="E3" s="171" t="s">
        <v>906</v>
      </c>
      <c r="F3" s="69">
        <v>1</v>
      </c>
      <c r="G3" s="172">
        <v>9868.85</v>
      </c>
      <c r="H3" s="89">
        <f>F3*G3</f>
        <v>9868.85</v>
      </c>
      <c r="I3" s="89">
        <f>H3*1.22</f>
        <v>12039.996999999999</v>
      </c>
      <c r="J3" s="89"/>
      <c r="K3" s="89"/>
      <c r="L3" s="89"/>
      <c r="M3" s="89"/>
      <c r="N3" s="6"/>
      <c r="O3" s="7"/>
      <c r="P3" s="7">
        <f>N3*O3</f>
        <v>0</v>
      </c>
      <c r="Q3" s="7">
        <f>P3*1.22</f>
        <v>0</v>
      </c>
      <c r="R3" s="6"/>
      <c r="S3" s="154"/>
      <c r="T3" s="6" t="e">
        <f>1-Q3/M3</f>
        <v>#DIV/0!</v>
      </c>
      <c r="U3" s="5"/>
      <c r="V3" s="5"/>
      <c r="W3" s="5"/>
      <c r="X3" s="5"/>
      <c r="Y3" s="5"/>
      <c r="Z3" s="5"/>
      <c r="AA3" s="5"/>
      <c r="AB3" s="5"/>
      <c r="AC3" s="5"/>
      <c r="AD3" s="5"/>
      <c r="AE3" s="5"/>
      <c r="AF3" s="5"/>
      <c r="AG3" s="5"/>
      <c r="AH3" s="120" t="s">
        <v>8</v>
      </c>
      <c r="AI3" s="6" t="s">
        <v>1547</v>
      </c>
    </row>
    <row r="4" spans="1:35" ht="12.2" customHeight="1" x14ac:dyDescent="0.25">
      <c r="A4" s="456" t="s">
        <v>59</v>
      </c>
      <c r="B4" s="457"/>
      <c r="C4" s="457"/>
      <c r="D4" s="457"/>
      <c r="E4" s="457"/>
      <c r="F4" s="457"/>
      <c r="G4" s="457"/>
      <c r="H4" s="458"/>
      <c r="I4" s="2">
        <f>SUM(I2:I3)</f>
        <v>33999.997000000003</v>
      </c>
      <c r="J4" s="179"/>
      <c r="K4" s="179"/>
      <c r="L4" s="179"/>
      <c r="M4" s="179"/>
      <c r="N4" s="181"/>
      <c r="O4" s="181"/>
      <c r="P4" s="181"/>
      <c r="Q4" s="2">
        <f>SUM(Q2:Q3)</f>
        <v>15121.655999999999</v>
      </c>
      <c r="R4" s="181"/>
      <c r="S4" s="2">
        <f>SUM(S2:S3)</f>
        <v>6838.344000000001</v>
      </c>
    </row>
    <row r="5" spans="1:35" ht="11.65" x14ac:dyDescent="0.25">
      <c r="Q5" s="67"/>
    </row>
    <row r="6" spans="1:35" ht="11.65" x14ac:dyDescent="0.25">
      <c r="Q6" s="14"/>
      <c r="S6" s="14"/>
    </row>
  </sheetData>
  <autoFilter ref="A1:T4"/>
  <mergeCells count="1">
    <mergeCell ref="A4:H4"/>
  </mergeCells>
  <printOptions horizontalCentered="1"/>
  <pageMargins left="0" right="0" top="0.39370078740157483" bottom="0.39370078740157483" header="0.23622047244094491" footer="0.23622047244094491"/>
  <pageSetup paperSize="9" scale="56" orientation="landscape" horizontalDpi="4294967294" verticalDpi="4294967294" r:id="rId1"/>
  <headerFooter alignWithMargins="0">
    <oddHeader>&amp;C&amp;"Garamond,Normale"&amp;A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21</vt:i4>
      </vt:variant>
    </vt:vector>
  </HeadingPairs>
  <TitlesOfParts>
    <vt:vector size="21" baseType="lpstr">
      <vt:lpstr>Sintesi Finanziati</vt:lpstr>
      <vt:lpstr>Tecnologie 1</vt:lpstr>
      <vt:lpstr>Tecnologie 2 </vt:lpstr>
      <vt:lpstr>P.S. Territoriale Rim.</vt:lpstr>
      <vt:lpstr>S.I.T. </vt:lpstr>
      <vt:lpstr>Adp Matera</vt:lpstr>
      <vt:lpstr>Adp Policoro</vt:lpstr>
      <vt:lpstr>Adeguamento tecnologico</vt:lpstr>
      <vt:lpstr>Struttura penitenziaria</vt:lpstr>
      <vt:lpstr>ADI</vt:lpstr>
      <vt:lpstr>PUA-ADI</vt:lpstr>
      <vt:lpstr>HOSPICE</vt:lpstr>
      <vt:lpstr>CENTRI SALUTE</vt:lpstr>
      <vt:lpstr>Potenziamento rete (terapia int</vt:lpstr>
      <vt:lpstr>Potenziamento rete (semi-int)</vt:lpstr>
      <vt:lpstr>Potenziamento rete (P.S)</vt:lpstr>
      <vt:lpstr>Potenziamento rete (ambulanza)</vt:lpstr>
      <vt:lpstr>PNRR - Tecnologie</vt:lpstr>
      <vt:lpstr>PNRR - ICT</vt:lpstr>
      <vt:lpstr>POV Stigliano</vt:lpstr>
      <vt:lpstr>PSC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Teresa Bengiovanni</dc:creator>
  <cp:lastModifiedBy>Teresa Bengiovanni</cp:lastModifiedBy>
  <cp:lastPrinted>2023-01-13T14:12:31Z</cp:lastPrinted>
  <dcterms:created xsi:type="dcterms:W3CDTF">2015-11-24T12:56:13Z</dcterms:created>
  <dcterms:modified xsi:type="dcterms:W3CDTF">2023-06-30T12:53:47Z</dcterms:modified>
</cp:coreProperties>
</file>